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5480" windowHeight="7590" tabRatio="914" activeTab="6"/>
  </bookViews>
  <sheets>
    <sheet name="FOVIS" sheetId="1" r:id="rId1"/>
    <sheet name="INFRAESTRUCTURA" sheetId="2" r:id="rId2"/>
    <sheet name="DIR CULTURA CIUD DLLO SOCIAL" sheetId="3" r:id="rId3"/>
    <sheet name="UMATA" sheetId="4" r:id="rId4"/>
    <sheet name="DIR CULTURA" sheetId="5" r:id="rId5"/>
    <sheet name="DIR EDUCACION" sheetId="6" r:id="rId6"/>
    <sheet name="DIR PLANEACION" sheetId="7" r:id="rId7"/>
    <sheet name="INDEPORTES" sheetId="8" r:id="rId8"/>
    <sheet name="DIR TRANSITO Y TTE" sheetId="9" r:id="rId9"/>
    <sheet name="SECRE-GOBIERNO" sheetId="10" r:id="rId10"/>
    <sheet name="COMISARIA DE FAMILIA" sheetId="11" r:id="rId11"/>
    <sheet name="DIR SALUD" sheetId="12" r:id="rId12"/>
    <sheet name="SANEAMIENTO BASICO" sheetId="13" r:id="rId13"/>
    <sheet name="PROYECTOS" sheetId="14" r:id="rId14"/>
    <sheet name="Hoja13" sheetId="15" r:id="rId15"/>
    <sheet name="Hoja14" sheetId="16" r:id="rId16"/>
    <sheet name="Hoja15" sheetId="17" r:id="rId17"/>
    <sheet name="Hoja16" sheetId="18" r:id="rId18"/>
    <sheet name="Hoja17" sheetId="19" r:id="rId19"/>
    <sheet name="Actividades" sheetId="20" r:id="rId20"/>
  </sheets>
  <calcPr calcId="145621"/>
</workbook>
</file>

<file path=xl/calcChain.xml><?xml version="1.0" encoding="utf-8"?>
<calcChain xmlns="http://schemas.openxmlformats.org/spreadsheetml/2006/main">
  <c r="BW7" i="7" l="1"/>
  <c r="AQ7" i="7"/>
  <c r="AT7" i="7" s="1"/>
  <c r="AW7" i="7" s="1"/>
  <c r="AZ7" i="7" s="1"/>
  <c r="AM7" i="7"/>
  <c r="D21" i="20"/>
  <c r="D16" i="20"/>
  <c r="D2" i="20"/>
  <c r="E25" i="20"/>
  <c r="BN7" i="7"/>
  <c r="C25" i="20"/>
  <c r="Q14" i="7" l="1"/>
  <c r="O14" i="7"/>
  <c r="R14" i="7"/>
  <c r="AP14" i="7"/>
  <c r="BM17" i="7"/>
  <c r="BM14" i="7"/>
  <c r="BM13" i="7"/>
  <c r="BM12" i="7"/>
  <c r="BM11" i="7"/>
  <c r="BM10" i="7"/>
  <c r="BN12" i="7"/>
  <c r="BN17" i="7"/>
  <c r="BN14" i="7"/>
  <c r="BN10" i="7"/>
  <c r="BN11" i="7"/>
  <c r="BN13" i="7"/>
  <c r="BN9" i="7"/>
  <c r="BM9" i="7"/>
  <c r="R17" i="7"/>
  <c r="AP17" i="7"/>
  <c r="AS17" i="7" s="1"/>
  <c r="O17" i="7"/>
  <c r="S17" i="7" s="1"/>
  <c r="U7" i="7"/>
  <c r="Q7" i="7"/>
  <c r="O7" i="7"/>
  <c r="BM7" i="7"/>
  <c r="R7" i="7"/>
  <c r="S14" i="7" l="1"/>
  <c r="R19" i="7"/>
  <c r="S7" i="7"/>
  <c r="S19" i="7" l="1"/>
  <c r="W5" i="14"/>
  <c r="U5" i="14"/>
  <c r="W4" i="14"/>
  <c r="U4" i="14"/>
  <c r="S30" i="12"/>
  <c r="S31" i="12" s="1"/>
  <c r="S21" i="12"/>
  <c r="AK19" i="12"/>
  <c r="AD19" i="12"/>
  <c r="AB19" i="12"/>
  <c r="AD4" i="12"/>
  <c r="T4" i="12"/>
  <c r="V4" i="12" s="1"/>
  <c r="X4" i="12" s="1"/>
  <c r="Z4" i="12" s="1"/>
  <c r="R36" i="4" l="1"/>
  <c r="P36" i="4"/>
  <c r="N36" i="4"/>
  <c r="L36" i="4"/>
  <c r="R35" i="4"/>
  <c r="P35" i="4"/>
  <c r="N35" i="4"/>
  <c r="L35" i="4"/>
  <c r="R34" i="4"/>
  <c r="P34" i="4"/>
  <c r="N34" i="4"/>
  <c r="L34" i="4"/>
  <c r="L33" i="4"/>
  <c r="R32" i="4"/>
  <c r="P32" i="4"/>
  <c r="N32" i="4"/>
  <c r="L32" i="4"/>
  <c r="R31" i="4"/>
  <c r="P31" i="4"/>
  <c r="N31" i="4"/>
  <c r="L31" i="4"/>
  <c r="X30" i="4"/>
  <c r="V30" i="4"/>
  <c r="T30" i="4"/>
  <c r="R30" i="4"/>
  <c r="P30" i="4"/>
  <c r="N30" i="4"/>
  <c r="L30" i="4"/>
  <c r="R29" i="4"/>
  <c r="P29" i="4"/>
  <c r="N29" i="4"/>
  <c r="L29" i="4"/>
  <c r="R28" i="4"/>
  <c r="P28" i="4"/>
  <c r="N28" i="4"/>
  <c r="L28" i="4"/>
  <c r="N27" i="4"/>
  <c r="L27" i="4"/>
  <c r="L26" i="4"/>
  <c r="V25" i="4"/>
  <c r="R25" i="4"/>
  <c r="P25" i="4"/>
  <c r="N25" i="4"/>
  <c r="L25" i="4"/>
  <c r="L24" i="4"/>
  <c r="R23" i="4"/>
  <c r="P23" i="4"/>
  <c r="N23" i="4"/>
  <c r="L23" i="4"/>
  <c r="P22" i="4"/>
  <c r="N22" i="4"/>
  <c r="L22" i="4"/>
  <c r="R21" i="4"/>
  <c r="P21" i="4"/>
  <c r="N21" i="4"/>
  <c r="L21" i="4"/>
  <c r="L20" i="4"/>
  <c r="R19" i="4"/>
  <c r="P19" i="4"/>
  <c r="N19" i="4"/>
  <c r="L19" i="4"/>
  <c r="R18" i="4"/>
  <c r="O18" i="4"/>
  <c r="P18" i="4" s="1"/>
  <c r="M18" i="4"/>
  <c r="N18" i="4" s="1"/>
  <c r="L18" i="4"/>
  <c r="R17" i="4"/>
  <c r="P17" i="4"/>
  <c r="N17" i="4"/>
  <c r="L17" i="4"/>
  <c r="N16" i="4"/>
  <c r="L16" i="4"/>
  <c r="R15" i="4"/>
  <c r="P15" i="4"/>
  <c r="N15" i="4"/>
  <c r="L15" i="4"/>
  <c r="R14" i="4"/>
  <c r="P14" i="4"/>
  <c r="N14" i="4"/>
  <c r="L14" i="4"/>
  <c r="R13" i="4"/>
  <c r="P13" i="4"/>
  <c r="N13" i="4"/>
  <c r="L13" i="4"/>
  <c r="R12" i="4"/>
  <c r="P12" i="4"/>
  <c r="N12" i="4"/>
  <c r="L12" i="4"/>
  <c r="R11" i="4"/>
  <c r="P11" i="4"/>
  <c r="N11" i="4"/>
  <c r="L11" i="4"/>
  <c r="R10" i="4"/>
  <c r="P10" i="4"/>
  <c r="N10" i="4"/>
  <c r="L10" i="4"/>
  <c r="R9" i="4"/>
  <c r="P9" i="4"/>
  <c r="N9" i="4"/>
  <c r="L9" i="4"/>
  <c r="R8" i="4"/>
  <c r="P8" i="4"/>
  <c r="N8" i="4"/>
  <c r="L8" i="4"/>
  <c r="L7" i="4"/>
  <c r="X6" i="4"/>
  <c r="W6" i="4"/>
  <c r="T6" i="4"/>
  <c r="U6" i="4" s="1"/>
  <c r="R6" i="4"/>
  <c r="P6" i="4"/>
  <c r="N6" i="4"/>
  <c r="L6" i="4"/>
  <c r="Y5" i="4"/>
  <c r="W5" i="4"/>
  <c r="U5" i="4"/>
  <c r="R5" i="4"/>
  <c r="P5" i="4"/>
  <c r="N5" i="4"/>
  <c r="L5" i="4"/>
  <c r="AA4" i="4"/>
  <c r="Y4" i="4"/>
  <c r="W4" i="4"/>
  <c r="U4" i="4"/>
  <c r="R4" i="4"/>
  <c r="P4" i="4"/>
  <c r="N4" i="4"/>
  <c r="L4" i="4"/>
  <c r="AL33" i="5" l="1"/>
  <c r="AM9" i="5"/>
  <c r="AH33" i="5"/>
  <c r="AG33" i="5"/>
  <c r="AE33" i="5"/>
  <c r="AC33" i="5"/>
  <c r="AI30" i="5"/>
  <c r="AF30" i="5"/>
  <c r="AD30" i="5"/>
  <c r="AI29" i="5"/>
  <c r="AF29" i="5"/>
  <c r="AD29" i="5"/>
  <c r="AI28" i="5"/>
  <c r="AF28" i="5"/>
  <c r="AD28" i="5"/>
  <c r="AI27" i="5"/>
  <c r="AF27" i="5"/>
  <c r="AD27" i="5"/>
  <c r="AI26" i="5"/>
  <c r="AF26" i="5"/>
  <c r="AD26" i="5"/>
  <c r="AI25" i="5"/>
  <c r="AF25" i="5"/>
  <c r="AD25" i="5"/>
  <c r="AI24" i="5"/>
  <c r="AF24" i="5"/>
  <c r="AD24" i="5"/>
  <c r="AI23" i="5"/>
  <c r="AF23" i="5"/>
  <c r="AD23" i="5"/>
  <c r="AI22" i="5"/>
  <c r="AF22" i="5"/>
  <c r="AD22" i="5"/>
  <c r="AI21" i="5"/>
  <c r="AF21" i="5"/>
  <c r="AD21" i="5"/>
  <c r="AI20" i="5"/>
  <c r="AF20" i="5"/>
  <c r="AD20" i="5"/>
  <c r="AI19" i="5"/>
  <c r="AF19" i="5"/>
  <c r="AD19" i="5"/>
  <c r="AI18" i="5"/>
  <c r="AF18" i="5"/>
  <c r="AD18" i="5"/>
  <c r="AI17" i="5"/>
  <c r="AF17" i="5"/>
  <c r="AD17" i="5"/>
  <c r="AI16" i="5"/>
  <c r="AF16" i="5"/>
  <c r="AD16" i="5"/>
  <c r="AI15" i="5"/>
  <c r="AF15" i="5"/>
  <c r="AD15" i="5"/>
  <c r="AI14" i="5"/>
  <c r="AF14" i="5"/>
  <c r="AD14" i="5"/>
  <c r="AI13" i="5"/>
  <c r="AF13" i="5"/>
  <c r="AD13" i="5"/>
  <c r="AI12" i="5"/>
  <c r="AF12" i="5"/>
  <c r="AD12" i="5"/>
  <c r="AI11" i="5"/>
  <c r="AF11" i="5"/>
  <c r="AD11" i="5"/>
  <c r="AI10" i="5"/>
  <c r="AF10" i="5"/>
  <c r="AD10" i="5"/>
  <c r="AI9" i="5"/>
  <c r="AF9" i="5"/>
  <c r="AD9" i="5"/>
  <c r="AI8" i="5"/>
  <c r="AF8" i="5"/>
  <c r="AD8" i="5"/>
  <c r="AI7" i="5"/>
  <c r="AF7" i="5"/>
  <c r="AD7" i="5"/>
  <c r="AI6" i="5"/>
  <c r="AF6" i="5"/>
  <c r="AD6" i="5"/>
  <c r="AI4" i="5"/>
  <c r="AF4" i="5"/>
  <c r="AD4" i="5"/>
  <c r="AB30" i="5"/>
  <c r="Z30" i="5"/>
  <c r="X30" i="5"/>
  <c r="V30" i="5"/>
  <c r="AM30" i="5" s="1"/>
  <c r="AB29" i="5"/>
  <c r="Z29" i="5"/>
  <c r="X29" i="5"/>
  <c r="V29" i="5"/>
  <c r="AM29" i="5" s="1"/>
  <c r="AB28" i="5"/>
  <c r="Z28" i="5"/>
  <c r="X28" i="5"/>
  <c r="V28" i="5"/>
  <c r="AM28" i="5" s="1"/>
  <c r="AB27" i="5"/>
  <c r="Z27" i="5"/>
  <c r="X27" i="5"/>
  <c r="V27" i="5"/>
  <c r="AM27" i="5" s="1"/>
  <c r="AB26" i="5"/>
  <c r="Z26" i="5"/>
  <c r="X26" i="5"/>
  <c r="V26" i="5"/>
  <c r="AM26" i="5" s="1"/>
  <c r="AB25" i="5"/>
  <c r="Z25" i="5"/>
  <c r="X25" i="5"/>
  <c r="V25" i="5"/>
  <c r="AM25" i="5" s="1"/>
  <c r="AB24" i="5"/>
  <c r="Z24" i="5"/>
  <c r="X24" i="5"/>
  <c r="V24" i="5"/>
  <c r="AM24" i="5" s="1"/>
  <c r="AA23" i="5"/>
  <c r="AB23" i="5" s="1"/>
  <c r="Z23" i="5"/>
  <c r="X23" i="5"/>
  <c r="V23" i="5"/>
  <c r="AM23" i="5" s="1"/>
  <c r="AB22" i="5"/>
  <c r="Z22" i="5"/>
  <c r="X22" i="5"/>
  <c r="V22" i="5"/>
  <c r="AM22" i="5" s="1"/>
  <c r="AB21" i="5"/>
  <c r="Z21" i="5"/>
  <c r="X21" i="5"/>
  <c r="V21" i="5"/>
  <c r="AM21" i="5" s="1"/>
  <c r="AB20" i="5"/>
  <c r="Z20" i="5"/>
  <c r="X20" i="5"/>
  <c r="V20" i="5"/>
  <c r="AM20" i="5" s="1"/>
  <c r="AB19" i="5"/>
  <c r="Z19" i="5"/>
  <c r="X19" i="5"/>
  <c r="V19" i="5"/>
  <c r="AM19" i="5" s="1"/>
  <c r="AB18" i="5"/>
  <c r="Z18" i="5"/>
  <c r="X18" i="5"/>
  <c r="V18" i="5"/>
  <c r="AM18" i="5" s="1"/>
  <c r="AB17" i="5"/>
  <c r="Z17" i="5"/>
  <c r="X17" i="5"/>
  <c r="V17" i="5"/>
  <c r="AM17" i="5" s="1"/>
  <c r="AB16" i="5"/>
  <c r="Z16" i="5"/>
  <c r="X16" i="5"/>
  <c r="V16" i="5"/>
  <c r="AM16" i="5" s="1"/>
  <c r="AA15" i="5"/>
  <c r="AB15" i="5" s="1"/>
  <c r="Z15" i="5"/>
  <c r="X15" i="5"/>
  <c r="V15" i="5"/>
  <c r="AM15" i="5" s="1"/>
  <c r="AB14" i="5"/>
  <c r="Z14" i="5"/>
  <c r="X14" i="5"/>
  <c r="V14" i="5"/>
  <c r="AM14" i="5" s="1"/>
  <c r="AB13" i="5"/>
  <c r="Z13" i="5"/>
  <c r="X13" i="5"/>
  <c r="V13" i="5"/>
  <c r="AM13" i="5" s="1"/>
  <c r="AB12" i="5"/>
  <c r="Z12" i="5"/>
  <c r="X12" i="5"/>
  <c r="V12" i="5"/>
  <c r="AM12" i="5" s="1"/>
  <c r="AB11" i="5"/>
  <c r="Z11" i="5"/>
  <c r="X11" i="5"/>
  <c r="V11" i="5"/>
  <c r="AM11" i="5" s="1"/>
  <c r="AB10" i="5"/>
  <c r="Z10" i="5"/>
  <c r="X10" i="5"/>
  <c r="V10" i="5"/>
  <c r="AM10" i="5" s="1"/>
  <c r="X9" i="5"/>
  <c r="AB8" i="5"/>
  <c r="Z8" i="5"/>
  <c r="X8" i="5"/>
  <c r="V8" i="5"/>
  <c r="AM8" i="5" s="1"/>
  <c r="AB7" i="5"/>
  <c r="Z7" i="5"/>
  <c r="X7" i="5"/>
  <c r="V7" i="5"/>
  <c r="AM7" i="5" s="1"/>
  <c r="AB6" i="5"/>
  <c r="Z6" i="5"/>
  <c r="X6" i="5"/>
  <c r="V6" i="5"/>
  <c r="AM6" i="5" s="1"/>
  <c r="X5" i="5"/>
  <c r="V5" i="5"/>
  <c r="AB4" i="5"/>
  <c r="Z4" i="5"/>
  <c r="X4" i="5"/>
  <c r="V4" i="5"/>
  <c r="AM4" i="5" s="1"/>
  <c r="R30" i="5"/>
  <c r="P30" i="5"/>
  <c r="N30" i="5"/>
  <c r="L30" i="5"/>
  <c r="R29" i="5"/>
  <c r="P29" i="5"/>
  <c r="N29" i="5"/>
  <c r="L29" i="5"/>
  <c r="R28" i="5"/>
  <c r="P28" i="5"/>
  <c r="N28" i="5"/>
  <c r="L28" i="5"/>
  <c r="R27" i="5"/>
  <c r="P27" i="5"/>
  <c r="N27" i="5"/>
  <c r="L27" i="5"/>
  <c r="R26" i="5"/>
  <c r="P26" i="5"/>
  <c r="N26" i="5"/>
  <c r="L26" i="5"/>
  <c r="R25" i="5"/>
  <c r="P25" i="5"/>
  <c r="N25" i="5"/>
  <c r="L25" i="5"/>
  <c r="R24" i="5"/>
  <c r="P24" i="5"/>
  <c r="N24" i="5"/>
  <c r="L24" i="5"/>
  <c r="R23" i="5"/>
  <c r="P23" i="5"/>
  <c r="N23" i="5"/>
  <c r="L23" i="5"/>
  <c r="R22" i="5"/>
  <c r="P22" i="5"/>
  <c r="N22" i="5"/>
  <c r="L22" i="5"/>
  <c r="R21" i="5"/>
  <c r="P21" i="5"/>
  <c r="N21" i="5"/>
  <c r="L21" i="5"/>
  <c r="R20" i="5"/>
  <c r="P20" i="5"/>
  <c r="N20" i="5"/>
  <c r="L20" i="5"/>
  <c r="R19" i="5"/>
  <c r="P19" i="5"/>
  <c r="N19" i="5"/>
  <c r="L19" i="5"/>
  <c r="R18" i="5"/>
  <c r="P18" i="5"/>
  <c r="N18" i="5"/>
  <c r="L18" i="5"/>
  <c r="R17" i="5"/>
  <c r="P17" i="5"/>
  <c r="N17" i="5"/>
  <c r="L17" i="5"/>
  <c r="R16" i="5"/>
  <c r="P16" i="5"/>
  <c r="N16" i="5"/>
  <c r="L16" i="5"/>
  <c r="R15" i="5"/>
  <c r="P15" i="5"/>
  <c r="N15" i="5"/>
  <c r="L15" i="5"/>
  <c r="R14" i="5"/>
  <c r="P14" i="5"/>
  <c r="N14" i="5"/>
  <c r="L14" i="5"/>
  <c r="R13" i="5"/>
  <c r="P13" i="5"/>
  <c r="N13" i="5"/>
  <c r="L13" i="5"/>
  <c r="R12" i="5"/>
  <c r="P12" i="5"/>
  <c r="N12" i="5"/>
  <c r="L12" i="5"/>
  <c r="R11" i="5"/>
  <c r="P11" i="5"/>
  <c r="N11" i="5"/>
  <c r="L11" i="5"/>
  <c r="R10" i="5"/>
  <c r="P10" i="5"/>
  <c r="N10" i="5"/>
  <c r="L10" i="5"/>
  <c r="R8" i="5"/>
  <c r="P8" i="5"/>
  <c r="N8" i="5"/>
  <c r="L8" i="5"/>
  <c r="R7" i="5"/>
  <c r="P7" i="5"/>
  <c r="N7" i="5"/>
  <c r="L7" i="5"/>
  <c r="R6" i="5"/>
  <c r="P6" i="5"/>
  <c r="N6" i="5"/>
  <c r="L6" i="5"/>
  <c r="R4" i="5"/>
  <c r="P4" i="5"/>
  <c r="N4" i="5"/>
  <c r="L4" i="5"/>
  <c r="X42" i="3" l="1"/>
  <c r="V27" i="3"/>
  <c r="X19" i="3"/>
  <c r="V19" i="3"/>
  <c r="X17" i="3"/>
  <c r="V17" i="3"/>
  <c r="V12" i="3"/>
  <c r="X4" i="3"/>
  <c r="V4" i="3"/>
  <c r="R16" i="2" l="1"/>
  <c r="P16" i="2"/>
  <c r="N16" i="2"/>
  <c r="L16" i="2"/>
  <c r="U16" i="2" s="1"/>
  <c r="V16" i="2" s="1"/>
  <c r="R15" i="2"/>
  <c r="P15" i="2"/>
  <c r="N15" i="2"/>
  <c r="L15" i="2"/>
  <c r="U15" i="2" s="1"/>
  <c r="V15" i="2" s="1"/>
  <c r="R14" i="2"/>
  <c r="P14" i="2"/>
  <c r="N14" i="2"/>
  <c r="L14" i="2"/>
  <c r="U14" i="2" s="1"/>
  <c r="V14" i="2" s="1"/>
  <c r="R13" i="2"/>
  <c r="P13" i="2"/>
  <c r="N13" i="2"/>
  <c r="L13" i="2"/>
  <c r="U13" i="2" s="1"/>
  <c r="V13" i="2" s="1"/>
  <c r="R12" i="2"/>
  <c r="P12" i="2"/>
  <c r="N12" i="2"/>
  <c r="L12" i="2"/>
  <c r="U12" i="2" s="1"/>
  <c r="V12" i="2" s="1"/>
  <c r="R11" i="2"/>
  <c r="P11" i="2"/>
  <c r="N11" i="2"/>
  <c r="L11" i="2"/>
  <c r="U11" i="2" s="1"/>
  <c r="V11" i="2" s="1"/>
  <c r="R10" i="2"/>
  <c r="P10" i="2"/>
  <c r="N10" i="2"/>
  <c r="L10" i="2"/>
  <c r="U10" i="2" s="1"/>
  <c r="V10" i="2" s="1"/>
  <c r="R9" i="2"/>
  <c r="P9" i="2"/>
  <c r="N9" i="2"/>
  <c r="L9" i="2"/>
  <c r="U9" i="2" s="1"/>
  <c r="V9" i="2" s="1"/>
  <c r="R8" i="2"/>
  <c r="P8" i="2"/>
  <c r="N8" i="2"/>
  <c r="L8" i="2"/>
  <c r="U8" i="2" s="1"/>
  <c r="V8" i="2" s="1"/>
  <c r="R7" i="2"/>
  <c r="P7" i="2"/>
  <c r="N7" i="2"/>
  <c r="L7" i="2"/>
  <c r="U7" i="2" s="1"/>
  <c r="V7" i="2" s="1"/>
  <c r="R6" i="2"/>
  <c r="P6" i="2"/>
  <c r="N6" i="2"/>
  <c r="L6" i="2"/>
  <c r="U6" i="2" s="1"/>
  <c r="V6" i="2" s="1"/>
  <c r="R5" i="2"/>
  <c r="P5" i="2"/>
  <c r="N5" i="2"/>
  <c r="L5" i="2"/>
  <c r="U5" i="2" s="1"/>
  <c r="V5" i="2" s="1"/>
  <c r="R4" i="2"/>
  <c r="P4" i="2"/>
  <c r="N4" i="2"/>
  <c r="L4" i="2"/>
  <c r="U4" i="2" s="1"/>
  <c r="V4" i="2" s="1"/>
  <c r="W4" i="2" l="1"/>
  <c r="X4" i="2" s="1"/>
  <c r="Y4" i="2"/>
  <c r="Z4" i="2" s="1"/>
  <c r="AA4" i="2"/>
  <c r="AB4" i="2" s="1"/>
  <c r="W5" i="2"/>
  <c r="X5" i="2" s="1"/>
  <c r="Y5" i="2"/>
  <c r="Z5" i="2" s="1"/>
  <c r="AA5" i="2"/>
  <c r="AB5" i="2" s="1"/>
  <c r="W6" i="2"/>
  <c r="X6" i="2" s="1"/>
  <c r="Y6" i="2"/>
  <c r="Z6" i="2" s="1"/>
  <c r="AA6" i="2"/>
  <c r="AB6" i="2" s="1"/>
  <c r="W7" i="2"/>
  <c r="X7" i="2" s="1"/>
  <c r="Y7" i="2"/>
  <c r="Z7" i="2" s="1"/>
  <c r="AA7" i="2"/>
  <c r="AB7" i="2" s="1"/>
  <c r="W8" i="2"/>
  <c r="X8" i="2" s="1"/>
  <c r="Y8" i="2"/>
  <c r="Z8" i="2" s="1"/>
  <c r="AA8" i="2"/>
  <c r="AB8" i="2" s="1"/>
  <c r="W9" i="2"/>
  <c r="X9" i="2" s="1"/>
  <c r="Y9" i="2"/>
  <c r="Z9" i="2" s="1"/>
  <c r="AA9" i="2"/>
  <c r="AB9" i="2" s="1"/>
  <c r="W10" i="2"/>
  <c r="X10" i="2" s="1"/>
  <c r="Y10" i="2"/>
  <c r="Z10" i="2" s="1"/>
  <c r="AA10" i="2"/>
  <c r="AB10" i="2" s="1"/>
  <c r="W11" i="2"/>
  <c r="X11" i="2" s="1"/>
  <c r="Y11" i="2"/>
  <c r="Z11" i="2" s="1"/>
  <c r="AA11" i="2"/>
  <c r="AB11" i="2" s="1"/>
  <c r="W12" i="2"/>
  <c r="X12" i="2" s="1"/>
  <c r="Y12" i="2"/>
  <c r="Z12" i="2" s="1"/>
  <c r="AA12" i="2"/>
  <c r="AB12" i="2" s="1"/>
  <c r="W13" i="2"/>
  <c r="X13" i="2" s="1"/>
  <c r="Y13" i="2"/>
  <c r="Z13" i="2" s="1"/>
  <c r="AA13" i="2"/>
  <c r="AB13" i="2" s="1"/>
  <c r="W14" i="2"/>
  <c r="X14" i="2" s="1"/>
  <c r="Y14" i="2"/>
  <c r="Z14" i="2" s="1"/>
  <c r="AA14" i="2"/>
  <c r="AB14" i="2" s="1"/>
  <c r="W15" i="2"/>
  <c r="X15" i="2" s="1"/>
  <c r="Y15" i="2"/>
  <c r="Z15" i="2" s="1"/>
  <c r="AA15" i="2"/>
  <c r="AB15" i="2" s="1"/>
  <c r="W16" i="2"/>
  <c r="X16" i="2" s="1"/>
  <c r="Y16" i="2"/>
  <c r="Z16" i="2" s="1"/>
  <c r="AA16" i="2"/>
  <c r="AB16" i="2" s="1"/>
</calcChain>
</file>

<file path=xl/comments1.xml><?xml version="1.0" encoding="utf-8"?>
<comments xmlns="http://schemas.openxmlformats.org/spreadsheetml/2006/main">
  <authors>
    <author>Marcela Maria  Restrepo Perez</author>
  </authors>
  <commentList>
    <comment ref="H40" authorId="0">
      <text>
        <r>
          <rPr>
            <b/>
            <sz val="9"/>
            <color indexed="81"/>
            <rFont val="Calibri"/>
            <family val="2"/>
          </rPr>
          <t>Adultos</t>
        </r>
      </text>
    </comment>
    <comment ref="U40" authorId="0">
      <text>
        <r>
          <rPr>
            <b/>
            <sz val="9"/>
            <color indexed="81"/>
            <rFont val="Calibri"/>
            <family val="2"/>
          </rPr>
          <t>Salarios Coordinadora Casa Edad Dorada  y 4 coordinadoras grupos rurales</t>
        </r>
      </text>
    </comment>
    <comment ref="H41" authorId="0">
      <text>
        <r>
          <rPr>
            <b/>
            <sz val="9"/>
            <color indexed="81"/>
            <rFont val="Calibri"/>
            <family val="2"/>
          </rPr>
          <t>Cabildantes</t>
        </r>
      </text>
    </comment>
    <comment ref="T44" authorId="0">
      <text>
        <r>
          <rPr>
            <b/>
            <sz val="9"/>
            <color indexed="81"/>
            <rFont val="Calibri"/>
            <family val="2"/>
          </rPr>
          <t>Los salarios de los profesores salen de la nómina de la Unidad Cultural</t>
        </r>
      </text>
    </comment>
    <comment ref="T45" authorId="0">
      <text>
        <r>
          <rPr>
            <b/>
            <sz val="9"/>
            <color indexed="81"/>
            <rFont val="Calibri"/>
            <family val="2"/>
          </rPr>
          <t>El salario de la instructora del grupo de danzas sale de la unidad Cultural. El vr del contrato es por el instructor de la banda</t>
        </r>
      </text>
    </comment>
    <comment ref="U45" authorId="0">
      <text>
        <r>
          <rPr>
            <b/>
            <sz val="9"/>
            <color indexed="81"/>
            <rFont val="Calibri"/>
            <family val="2"/>
          </rPr>
          <t>Instructor de la Banda. Valor contrato</t>
        </r>
      </text>
    </comment>
  </commentList>
</comments>
</file>

<file path=xl/comments2.xml><?xml version="1.0" encoding="utf-8"?>
<comments xmlns="http://schemas.openxmlformats.org/spreadsheetml/2006/main">
  <authors>
    <author>equipo</author>
  </authors>
  <commentList>
    <comment ref="H7" authorId="0">
      <text>
        <r>
          <rPr>
            <b/>
            <sz val="9"/>
            <color indexed="81"/>
            <rFont val="Tahoma"/>
            <charset val="1"/>
          </rPr>
          <t xml:space="preserve">Nelson O.: </t>
        </r>
        <r>
          <rPr>
            <sz val="9"/>
            <color indexed="81"/>
            <rFont val="Tahoma"/>
            <family val="2"/>
          </rPr>
          <t>Falta un ponderador de actividades del proyecto asociado a las actividades para su ejecucion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Q7" authorId="0">
      <text>
        <r>
          <rPr>
            <b/>
            <sz val="9"/>
            <color indexed="81"/>
            <rFont val="Tahoma"/>
            <charset val="1"/>
          </rPr>
          <t>equipo:</t>
        </r>
        <r>
          <rPr>
            <sz val="9"/>
            <color indexed="81"/>
            <rFont val="Tahoma"/>
            <charset val="1"/>
          </rPr>
          <t xml:space="preserve">
En el año 2011 se ejecutaron 120000000 en convnio UCN, GOBERNACION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Datos asociados al cronograma de actividades del proyecto, con su respectivo valor porcentual</t>
        </r>
      </text>
    </comment>
  </commentList>
</comments>
</file>

<file path=xl/comments3.xml><?xml version="1.0" encoding="utf-8"?>
<comments xmlns="http://schemas.openxmlformats.org/spreadsheetml/2006/main">
  <authors>
    <author>equipo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<sst xmlns="http://schemas.openxmlformats.org/spreadsheetml/2006/main" count="2730" uniqueCount="1233">
  <si>
    <t xml:space="preserve">LÍNEA ESTRATEGICA </t>
  </si>
  <si>
    <t xml:space="preserve">SECTOR </t>
  </si>
  <si>
    <t>POLÍTICA</t>
  </si>
  <si>
    <t>PROGRAMA</t>
  </si>
  <si>
    <t>SUBPROGRAMA</t>
  </si>
  <si>
    <t>PROYECTO</t>
  </si>
  <si>
    <t>PONDERADOR</t>
  </si>
  <si>
    <t>LINEA BASE</t>
  </si>
  <si>
    <t>META PRODUCTO</t>
  </si>
  <si>
    <t>INDICADOR</t>
  </si>
  <si>
    <t>META ACUMULADA CUATRENIO</t>
  </si>
  <si>
    <t>VALOR PROYECTADO A INVERTIR EN EL CUATRIENIIO</t>
  </si>
  <si>
    <t xml:space="preserve">VALOR PROYECTO </t>
  </si>
  <si>
    <t>PLAN DE INVERSIÓN</t>
  </si>
  <si>
    <t>FUENTES DE INVERSION PARA LOS CUATRO AÑOS</t>
  </si>
  <si>
    <t>RESPONSABLES</t>
  </si>
  <si>
    <t>REC. PROPIOS</t>
  </si>
  <si>
    <t>SGP</t>
  </si>
  <si>
    <t>REGALIAS</t>
  </si>
  <si>
    <t>EMPRESTITO</t>
  </si>
  <si>
    <t>OTROS</t>
  </si>
  <si>
    <t>N°</t>
  </si>
  <si>
    <t>%</t>
  </si>
  <si>
    <t>$</t>
  </si>
  <si>
    <t>RUBRO</t>
  </si>
  <si>
    <t>ENTIDAD</t>
  </si>
  <si>
    <t>BIENESTAR SOCIAL</t>
  </si>
  <si>
    <t>VIVIENDA</t>
  </si>
  <si>
    <t>Política Integral de Vivienda “VIVIENDA PARA LA VIDA Y EL BIENESTAR SOCIAL”, se disminuira los déficits cuantitativo y cualitivo, a través de proyectos de construcción y mejoramiento de viviendas, con el fin de mejorar la calidad de vida de la gente y contribuir al cumplimiento de las metas trazadas en el Plan de Desarrollo y los Objetivos de Desarrollo del Milenio.</t>
  </si>
  <si>
    <t xml:space="preserve">SANTA ROSA DE OSOS CIUDAD DE PROPIETARIOS CON DERECHO A UNA VIVIENDA DIGNA </t>
  </si>
  <si>
    <t>VIVIENDA Y ESPACIO PUBLICO: CONSTRUYENDO CIUDAD.
(Se reconoce como factor de integración social y espacial, articulada a las actuaciones de espacio público, movilidad, ambiente y servicios públicos).</t>
  </si>
  <si>
    <t>VIVIENDAS NUEVAS EN EL AREA URBANA</t>
  </si>
  <si>
    <t>200 VIVIENDAS NUEVAS URBANAS CONSTRUIDAS EN LOS PROXIMOS CUATRO AÑOS</t>
  </si>
  <si>
    <t>Número de viviendas urbanas construidas</t>
  </si>
  <si>
    <t>LEY 99/93</t>
  </si>
  <si>
    <t>DIRECCION DEL FOVIS</t>
  </si>
  <si>
    <t>URBANISMO Y ESPACIO PUBLICO EN LOS PROYECTOS DE VIVIENDA DEL AREA URBANA</t>
  </si>
  <si>
    <t>1500 METROS CUADRADOS DE URBANISMO EN LOS PROYECTOS DE VIVIENDA  EN LOS PROXIMOS CUATRO AÑOS</t>
  </si>
  <si>
    <t>Número de metros cuadrados adecuados en proyectos de vivienda</t>
  </si>
  <si>
    <t>MEJORAMIENTOS DE VIVIENDAS EN EL AREA URBANA</t>
  </si>
  <si>
    <t>100 MEJORAMIENTO DE VIVIENDAS URBANAS CONSTRUIDAS EN LOS PROXIMOS CUATRO AÑOS</t>
  </si>
  <si>
    <t>Número de mejoramiento de viviendas urbanas construidas</t>
  </si>
  <si>
    <t>DIRECCION DEL FOVIS E INFRAESTRUCTURA</t>
  </si>
  <si>
    <t>LA VIVIENDA: APORTANDO A LA EQUIDAD SOCIAL Y AL DESARROLLO RURAL</t>
  </si>
  <si>
    <t>VIVIENDAS NUEVAS EN EL AREA RURAL</t>
  </si>
  <si>
    <t>60 VIVIENDAS NUEVAS RURALES CONSTRUIDAS EN LOS PROXIMOS CUATRO AÑOS</t>
  </si>
  <si>
    <t>Número de viviendas rurales construidas</t>
  </si>
  <si>
    <t>MEJORAMIENTOS DE VIVIENDAS EN EL AREA RURAL</t>
  </si>
  <si>
    <t>100 MEJORAMIENTO DE VIVIENDAS RURALES CONSTRUIDAS EN LOS PROXIMOS CUATRO AÑOS</t>
  </si>
  <si>
    <t>Número de mejoramiento de viviendas rurales construidas</t>
  </si>
  <si>
    <t>LA VIVIENDA: COMO CONTROL SOCIAL EN EL MERCADO INMOBILIARIO Y REGULADOR DEL COSTO TIERRA</t>
  </si>
  <si>
    <t>Legalización y titulación de predios</t>
  </si>
  <si>
    <t>260 PREDIOS URBANOS Y RURALES LEGALIZADOS Y ESCRITURADOS EN LOS PROXIMOS CUATRO AÑOS</t>
  </si>
  <si>
    <t xml:space="preserve">Numero de predios escriturados </t>
  </si>
  <si>
    <t>BANCO DE TIERRAS MUNIPAL</t>
  </si>
  <si>
    <t>10.000 M2 DE TERRENOS COMPRADOS PARA SER DESTINADOS EN PROYECTOS DE VIVIENDA PARA FORTALECER EL BANCOIDE TIERRAS DEL FOVIS EN LOS PROXIMOS CUATRO AÑOS</t>
  </si>
  <si>
    <t>Número de metros cuadrados comprados</t>
  </si>
  <si>
    <t>COSTO TOTAL DE INVERSION DE VIVIENDA EN LOS CUATRO AÑOS</t>
  </si>
  <si>
    <t>VALOR TOTAL DE EMPRESTITO</t>
  </si>
  <si>
    <t>DESARROLLO URBANO E INFRAESTRUCTURA</t>
  </si>
  <si>
    <t>INFRAESTRUCTURA</t>
  </si>
  <si>
    <t>Aumentar la integración y competitividad del municipio, mediante la mejora de la infraestructura física.</t>
  </si>
  <si>
    <t>CONSTRUCCIÓN, AMPLIACIÓN, MANTENIMIENTO Y/O REHABILITACIÓN DE LA MALLA VIAL MUNICIPAL</t>
  </si>
  <si>
    <t>Construcción, Ampliación  y/o mantenimiento de las vías secundarias y terciarias de jurisdicción del municipio.</t>
  </si>
  <si>
    <t>Construcción, Ampliación  y/o mantenimiento de obras de drenaje en jurisdicción del municipio.</t>
  </si>
  <si>
    <t>340 km en obras de drenaje para vías rurales, ha ejecutarse en los proximos cuatro años.</t>
  </si>
  <si>
    <t>Kilometros de obras de drenaje.</t>
  </si>
  <si>
    <t>DIRECTOR DE INFRAESTRUCTURA</t>
  </si>
  <si>
    <t>Suministro de Material de Afirmado para el mantenimiento de la Malla Víal Municipal</t>
  </si>
  <si>
    <t>245 km de vías intervenidas con material de afirmado en los proximos cuatro años.</t>
  </si>
  <si>
    <t>Kilometros intervenidos con afirmado.</t>
  </si>
  <si>
    <t>Ampliación de la Malla Víal Municipal.</t>
  </si>
  <si>
    <t xml:space="preserve"> 12 km de la Malla Víal ampliados  en los proximos cuatro años.</t>
  </si>
  <si>
    <t>Kilometros ampliados.</t>
  </si>
  <si>
    <t>Manteninmiento de la Malla Víal Municipal.</t>
  </si>
  <si>
    <t>264 km de mantenimiento preventivo para las vías de la jurisdicción del municipio realizados en los proximos cuatro años.</t>
  </si>
  <si>
    <t>Kilometros intervenidos.</t>
  </si>
  <si>
    <t>Construcción, Ampliación  y/o mantenimiento de vías colectoras, arterias y de servicio en la jurisdicción del municipio.</t>
  </si>
  <si>
    <t>4.000 m2 de pavimento para mantenimiento vial, ejecutados en los proximos cuatro años.</t>
  </si>
  <si>
    <t>m2 de pavimento.</t>
  </si>
  <si>
    <t>Construcción, Ampliación  y/o mantenimiento de ciclovías y vías peatonales.</t>
  </si>
  <si>
    <t>1.000 m2 de ciclovías y vías peatonales construidos, ampliados y/o adecuados en la jurisdicción del Municipio, en los proximos cuatro años.</t>
  </si>
  <si>
    <t>m2 construidos.</t>
  </si>
  <si>
    <t>Construcción, Ampliación  y/o mantenimiento de puentes.</t>
  </si>
  <si>
    <t>20 puentes intervenidos en la jurisdicción del Municipio, en los proximos cuatro años.</t>
  </si>
  <si>
    <t>númeo de puentes intervenidos.</t>
  </si>
  <si>
    <t>CONSTRUCCIÓN, AMPLIACIÓN Y/O MANTENIMIENTO DE LA INFRAESTRUCTURA INSTITUCIONAL, ESTATAL Y HOSPITALARIA</t>
  </si>
  <si>
    <t xml:space="preserve">Construcción, Ampliación  y/o mantenimiento de establecimientos educativos urbanos y rurales. </t>
  </si>
  <si>
    <t>7.000 m2 construidos , ampliados y/o adecuados en aulas y espacios escolares nuevos, durante los proximos cuatro años.</t>
  </si>
  <si>
    <t>m2 intervenidos.</t>
  </si>
  <si>
    <t>DIRECTORES DE INFRAESTRUCTURA Y EDUCACIÓN</t>
  </si>
  <si>
    <t>Construcción, Ampliación  y/o mantenimiento de edificios públicos y/o centros de salud.</t>
  </si>
  <si>
    <t>Construcción, Ampliación  y/o mantenimiento de los edificios públicos del Municipio.</t>
  </si>
  <si>
    <t>5.000 m2 construidos , ampliados y/o adecuados en edificios públicos en los proximos cuatro años.</t>
  </si>
  <si>
    <t>Construcción, Ampliación  y/o mantenimiento de los centros de salud del Municipio.</t>
  </si>
  <si>
    <t>3 centros de salud intervenidos en los proximos cuatro años.</t>
  </si>
  <si>
    <t>númeo de centros intervenidos.</t>
  </si>
  <si>
    <t>DIRECTORES DE INFRAESTRUCTURA Y SALUD</t>
  </si>
  <si>
    <t>CONSTRUCCIÓN, AMPLIACIÓN Y/O MANTENIMIENTO DEL ESPACIO PÚBLICO Y DEL EQUIPAMIENTO URBANO.</t>
  </si>
  <si>
    <t>Construcción, Ampliación  y/o mantenimiento del espacio público.</t>
  </si>
  <si>
    <t>5.000 m2 construidos , ampliados y/o adecuados en espacio público en los proximos cuatro años.</t>
  </si>
  <si>
    <t>DIRECTOR DE INFRAESTRUCTURA Y VIVIENDA</t>
  </si>
  <si>
    <t>Construcción, Ampliación  y/o mantenimiento del Equipamento Urbano</t>
  </si>
  <si>
    <t>1.000 ml con equipamiento urbano, durante los próximos cuatro años.</t>
  </si>
  <si>
    <t>ml intervenidos.</t>
  </si>
  <si>
    <t>CONSTRUCCIÓN, AMPLIACIÓN Y/O MANTENIMIENTO DE LOS ESCENARIOS DEPORTIVOS.</t>
  </si>
  <si>
    <t>Construcción, Ampliación  y/o mantenimiento de escenarios deportivos.</t>
  </si>
  <si>
    <t>35.000 m2 construidos , ampliados y/o adecuado en escenarios deportivos en los proximos cuatro años.</t>
  </si>
  <si>
    <t>DIRECTOR DE INFRAESTRUCTURA E INDEPORTES</t>
  </si>
  <si>
    <t>MISIONAL</t>
  </si>
  <si>
    <t xml:space="preserve">ESTRATEGICO </t>
  </si>
  <si>
    <t>APOYO</t>
  </si>
  <si>
    <t>ETRATEGICO</t>
  </si>
  <si>
    <t>ESTRATEGICO</t>
  </si>
  <si>
    <t>DESARROLLO ECONOMICO</t>
  </si>
  <si>
    <t>DESARROLLO AGRARIO</t>
  </si>
  <si>
    <t>SANTA ROSA DE OSOS UN MUNICIPIO AGRO AMBIENTALMENTE SUSTENTABLE</t>
  </si>
  <si>
    <t>AGROECOLOGIA</t>
  </si>
  <si>
    <t>PRODUCCION GANADERA</t>
  </si>
  <si>
    <t>SEGURIDAD ALIMENTARIA</t>
  </si>
  <si>
    <t>ALTERNATIVAS PRODUCTIVAS</t>
  </si>
  <si>
    <t>CONSERVACIÓN Y MANEJO DE LOS RECURSOS AGUA, SUELO, AIRE Y BIODIVERSIDAD</t>
  </si>
  <si>
    <t>RECURSOS NATURALES Y MEDIO AMBIENTE</t>
  </si>
  <si>
    <t>CAMPAÑAS AMBIENTALES Y CULTURA AMBIENTAL</t>
  </si>
  <si>
    <t>MANEJO INTEGRAL DE RESIDUOS SÓLIDOS E IMPLEMENTACION DEL PGIRS.</t>
  </si>
  <si>
    <t>ECONOMIA Y EMPRENDIMIENTO</t>
  </si>
  <si>
    <t>AGROINDUSTRIA Y TECNOLOGIA</t>
  </si>
  <si>
    <t>FOMENTO AGROPECUARIO</t>
  </si>
  <si>
    <t xml:space="preserve">DIRECCIÓN DE CULTURA CIUDADANA Y DESARROLLO SOCIAL </t>
  </si>
  <si>
    <t>Politica Publica para el Desarrollo Social, Sostenible y Equitativo en el Municipio de Santa Rosa de Osos (Acuerdo 002 del 26 de febrero de 2010)</t>
  </si>
  <si>
    <t>EQUIDAD DE GENERO</t>
  </si>
  <si>
    <t>JUVENTUD</t>
  </si>
  <si>
    <t>POLITICA PUBLICA SOCIAL PARA EL DESARROLLO INTEGRAL ,SOSTENIBLE Y EQUITATIVO EN EL MUNICIPIO DE SANTA ROSA DE OSOS</t>
  </si>
  <si>
    <t>ADULTO MAYOR</t>
  </si>
  <si>
    <t xml:space="preserve">FAMILIAS EN ACCIÓN </t>
  </si>
  <si>
    <t>NIÑEZ</t>
  </si>
  <si>
    <t xml:space="preserve">POLITICA PUBLICA ESTABILIDAD ALIMENTARIA </t>
  </si>
  <si>
    <t xml:space="preserve">RED UNIDOS </t>
  </si>
  <si>
    <t xml:space="preserve">POBLACION ETNICA </t>
  </si>
  <si>
    <t>Fortalecimiento a la Organizaciones Comunitarias</t>
  </si>
  <si>
    <t>Programa para la Equidad</t>
  </si>
  <si>
    <t>Mujer Emprendedora</t>
  </si>
  <si>
    <r>
      <t>Grupos urbanos y rurales: "</t>
    </r>
    <r>
      <rPr>
        <b/>
        <sz val="11"/>
        <color theme="1"/>
        <rFont val="Calibri"/>
        <family val="2"/>
        <scheme val="minor"/>
      </rPr>
      <t>Edad Dorada</t>
    </r>
    <r>
      <rPr>
        <sz val="11"/>
        <color theme="1"/>
        <rFont val="Calibri"/>
        <family val="2"/>
        <scheme val="minor"/>
      </rPr>
      <t>"</t>
    </r>
  </si>
  <si>
    <t>Trabajando desde el arte, la cultura y la recreación con los "Grupos Edad Dorada"</t>
  </si>
  <si>
    <t>Programas del Ministerio de Protección Social</t>
  </si>
  <si>
    <t>Programa cofinanciado: Municipio y la Gobernación de Antioquia</t>
  </si>
  <si>
    <t xml:space="preserve">FAMILIAS EN ACCION </t>
  </si>
  <si>
    <t>MANA (Programa  Mejoramiento Alimentario y  Nutricional de Antioquia)</t>
  </si>
  <si>
    <t xml:space="preserve">INCORPORACION DE LA VARIABLE ETNICA EN LA IMPLEMENTACIÓN DE PLANES Y POLITICAS Y MUNICIPALES </t>
  </si>
  <si>
    <t>Celebraciones Comunitarias</t>
  </si>
  <si>
    <t>Jovenes con futuro</t>
  </si>
  <si>
    <t>Jovenes capaces</t>
  </si>
  <si>
    <t>Jovenes construyendo Tejido Social</t>
  </si>
  <si>
    <t>Brindar apoyo preventivo en salud</t>
  </si>
  <si>
    <t xml:space="preserve">Grupos de arte terapia </t>
  </si>
  <si>
    <t>Mantenimiento y fortalecimiento de: Banda Marcial y grupo de danzas</t>
  </si>
  <si>
    <t>Un encuentro subregional de Adulto Mayor</t>
  </si>
  <si>
    <t>Programa de Protección Social al Adulto Mayor   PPSAM</t>
  </si>
  <si>
    <t>Programa Juan Luis Londoño de la Cuesta</t>
  </si>
  <si>
    <t xml:space="preserve">Efectuar un diagnostico de la dimención de grupos etnicos en el Municipio  </t>
  </si>
  <si>
    <t xml:space="preserve">Atención a la población ÉTNICA </t>
  </si>
  <si>
    <t>ALDEAS (Agencias Locales de Desarrollo Autonomo)</t>
  </si>
  <si>
    <t>Promoción Integral para el Desarrollo</t>
  </si>
  <si>
    <t xml:space="preserve">Desarrollo con inclusión social </t>
  </si>
  <si>
    <t>Fortalecimiento socio - empresarial de las organizaciones comunitarias locales.</t>
  </si>
  <si>
    <t>Reconocimiento de los  socios activos  de las Organizaciones Comunitarias</t>
  </si>
  <si>
    <t xml:space="preserve">Capacitación en las TIC a las organizaciones Comunitarias </t>
  </si>
  <si>
    <t xml:space="preserve">Dia del Campesino </t>
  </si>
  <si>
    <t xml:space="preserve">Dia de la Junta de Acción Comunal </t>
  </si>
  <si>
    <t xml:space="preserve">Navidad Comunitaria </t>
  </si>
  <si>
    <t xml:space="preserve">Celebración del Mes del Niño </t>
  </si>
  <si>
    <t>Asesoría a la Asociación AMMUSAR  y red Municipal de Mujeres.</t>
  </si>
  <si>
    <t>Consejo Municipal de Mujeres</t>
  </si>
  <si>
    <t>Programa para la equidad</t>
  </si>
  <si>
    <t xml:space="preserve">Encuentro Regional de Redes de Mujeres Publicas </t>
  </si>
  <si>
    <t>Artes y oficios con equidad</t>
  </si>
  <si>
    <t xml:space="preserve">Celebración de la Semana de la Mujer </t>
  </si>
  <si>
    <t xml:space="preserve">Integraciones con los grupos Mujeres </t>
  </si>
  <si>
    <t xml:space="preserve">Apoyo a la creación y  asesoría   de movimientos culturales y sociales del municipio como la comunidad LGBTI, corporación ATENARTE comunidad negra y afro descendientes. </t>
  </si>
  <si>
    <t>Programa  Mujer activa, mujer feliz, mujer saludable</t>
  </si>
  <si>
    <t>Emprendimiento y productividad  para las mujeres</t>
  </si>
  <si>
    <t xml:space="preserve">Ferias agro artesanales </t>
  </si>
  <si>
    <t xml:space="preserve">Escuela de liderazgo juvenil </t>
  </si>
  <si>
    <t>Prevencion de farmacodependencia en los jovenes y las familias</t>
  </si>
  <si>
    <t>Prevencion y educacion sexual de  en los jovenes y las familias</t>
  </si>
  <si>
    <t>Escuelas de Familia</t>
  </si>
  <si>
    <t>Atencion a los jovenes con capacidades diferentes</t>
  </si>
  <si>
    <t>Asesoria y acompañamiento permanente y pertinente a las iniciativas juveniles</t>
  </si>
  <si>
    <t>Red Municipal de Jovenes.</t>
  </si>
  <si>
    <t>Acuerdo Municipal para la creacion de la Casa de la Juventud.</t>
  </si>
  <si>
    <t>Asesoria y acompañamiento permanente y pertinente al Concejo Municipal de Juventud</t>
  </si>
  <si>
    <t xml:space="preserve">Intercolegiados Culturales y Recreativos </t>
  </si>
  <si>
    <t>Campamentos juveniles</t>
  </si>
  <si>
    <t>Semana de la Juventud</t>
  </si>
  <si>
    <t>Apoyo profesional en el área de fisioterapia,social,  nutrición y psicología a los Adultos Mayores del Municipio</t>
  </si>
  <si>
    <t>Elección de Cabildo de Adulto Mayor, como espacio de veeduría y  participación</t>
  </si>
  <si>
    <t>Realizar integraciones por zonas geográficas; con los grupos del área urbana y rural</t>
  </si>
  <si>
    <t>Fortaler las competencias con capacitación al personal que hace parte del grupo de trabajo de la Edad Dorada en el manejo de adultos mayores</t>
  </si>
  <si>
    <t>A través del arte y con la creación de los grupos  de teatro y del grupo de coro, usarlos como grupos terapeúticos  para los adultos mayores</t>
  </si>
  <si>
    <t>Apoyo y acompañamiento a la Banda Marcial y grupo de danzas.</t>
  </si>
  <si>
    <t>Realizar un encuentro subregional con los grupos de adulto mayor</t>
  </si>
  <si>
    <t>Entrega de subsidios del Programa de Protección Social al Adulto Mayor   PPSAM</t>
  </si>
  <si>
    <t>Entrega de subsidios del Programa Juan Luis Londoño de la Cuesta</t>
  </si>
  <si>
    <t>Pago subsidios de Familias de Acción</t>
  </si>
  <si>
    <t>Verificación de compromisos</t>
  </si>
  <si>
    <t>Capacitación a Madres Líderes</t>
  </si>
  <si>
    <t>Encuentros de cuidado</t>
  </si>
  <si>
    <t>Asamblea General de Familias en Acción</t>
  </si>
  <si>
    <t>Mesas de trabajo Enlace Municipal</t>
  </si>
  <si>
    <t>Entrega del Complemento de MANA.</t>
  </si>
  <si>
    <t>Pruebas antropométricas</t>
  </si>
  <si>
    <t>Visitas domiciliarias.</t>
  </si>
  <si>
    <t>Actividades de desarrollo humano</t>
  </si>
  <si>
    <t xml:space="preserve">Todos Identificados
Lograr que todos los integrantes de las familias en pobreza extrema cuenten con los documentos esenciales que los identifican como ciudadanos colombianos 
</t>
  </si>
  <si>
    <t>Ingresos y trabajo para las familias UNIDOS</t>
  </si>
  <si>
    <t xml:space="preserve">Garantizar que las familias en pobreza extrema acceden a ingresos monetarios o en especie a través de </t>
  </si>
  <si>
    <r>
      <t xml:space="preserve">Formando Capital Humano </t>
    </r>
    <r>
      <rPr>
        <sz val="11"/>
        <color theme="1"/>
        <rFont val="Calibri"/>
        <family val="2"/>
        <scheme val="minor"/>
      </rPr>
      <t>Lograr que los niños, jóvenes y adultos acumulen capital humano y accedan al conocimiento que les garantice su desarrollo humano integral</t>
    </r>
  </si>
  <si>
    <t>Acceso al ciclo básico de educación, incluida la población en discapacidad y que los adultos estén alfabetizados</t>
  </si>
  <si>
    <t>Todos Saludables: Lograr la vinculación efectiva al sistema de salud y garantizar que todas las familias en pobreza extrema reciben servicios en salud y participan de los programas de prevención y promoción, reduciendo los índices de morbilidad y mortalidad</t>
  </si>
  <si>
    <t>Todos Nutridos y Alimentados de manera saludable</t>
  </si>
  <si>
    <t>Promover que el 80% de las familias en pobreza extrema practiquen hábitos saludables de alimentación y accedan de manera oportuna a los alimentos.</t>
  </si>
  <si>
    <t>UNIDOS EN FAMILIA</t>
  </si>
  <si>
    <t xml:space="preserve">Todos con oportunidades y ahorrando  </t>
  </si>
  <si>
    <t>Acceso a los servicios de la justicia para todos</t>
  </si>
  <si>
    <t xml:space="preserve">Identificación y canalizacion de la población ÉTNICA existente en el Municpio </t>
  </si>
  <si>
    <t>Incluir la Población ÉTNICA en los planes programas y proyectos sociales economicos y culturales del Municipio.</t>
  </si>
  <si>
    <t xml:space="preserve">Asociación ÉTNICA </t>
  </si>
  <si>
    <t xml:space="preserve">96 Reuniones </t>
  </si>
  <si>
    <t xml:space="preserve">Realizar 96 Reuniones ejecutadas en el cuatrenio </t>
  </si>
  <si>
    <t>numero de reuniones ejecutadas</t>
  </si>
  <si>
    <t xml:space="preserve">30 Visitar y asesorar a cada vereda y barrio urbano  para fortalecer y dinamizar los procesos sociales de cada comunidad en el cuatrenio </t>
  </si>
  <si>
    <t>Número de visitas programadas y realizadas</t>
  </si>
  <si>
    <t xml:space="preserve">Legalizar 6 JAC  </t>
  </si>
  <si>
    <t xml:space="preserve">Numero de  JAC Programadas a constituir </t>
  </si>
  <si>
    <t>86 JAC capacitadas y asesoradas en 4 años</t>
  </si>
  <si>
    <t>Capacitar 86 Juntas de acción comunal  por año en  planeación, gestión  y  creación de proyectos, ley 743 de las JAC</t>
  </si>
  <si>
    <t xml:space="preserve">numero de JAC Programadas a asesorar </t>
  </si>
  <si>
    <t>92 elecciones realizadas</t>
  </si>
  <si>
    <t>Realizar Elección de dignatarios en 92  JAC</t>
  </si>
  <si>
    <t xml:space="preserve">Numero de elecciones programadas y realizadas </t>
  </si>
  <si>
    <t>3500 socios activos en las JAC</t>
  </si>
  <si>
    <t>Obtener Socios activos en las JAC</t>
  </si>
  <si>
    <t xml:space="preserve">Numero de socios activos proyectados </t>
  </si>
  <si>
    <t xml:space="preserve">capacitar a las organizaciones comunitarias en manejo de contrato  y empresarismo </t>
  </si>
  <si>
    <t xml:space="preserve">Numero de organizaciones capacitadas </t>
  </si>
  <si>
    <t>Carnetizar de 3500 socios activos de las Organizaciones Comunitarias</t>
  </si>
  <si>
    <t xml:space="preserve">Número de socios activos programados por carnetizar </t>
  </si>
  <si>
    <t xml:space="preserve"> Capacitar 86 JAC con conocimientos básicos en herramientas tecnológicas </t>
  </si>
  <si>
    <t>Número de JAC programados para capacitar</t>
  </si>
  <si>
    <t xml:space="preserve">Realizar Cuatro celebraciones en el cuatrenio </t>
  </si>
  <si>
    <t xml:space="preserve">Número de celebraciones programadas y realizadas  </t>
  </si>
  <si>
    <t xml:space="preserve">Número de celebraciones programadas y realizadas </t>
  </si>
  <si>
    <t xml:space="preserve"> Realizar Cuatro celebraciones en el cuatrenio </t>
  </si>
  <si>
    <t>30 representantes</t>
  </si>
  <si>
    <t xml:space="preserve">Asesorar  48 Representantes  </t>
  </si>
  <si>
    <t xml:space="preserve">Numero de representantes asesoradas </t>
  </si>
  <si>
    <t>o</t>
  </si>
  <si>
    <t xml:space="preserve">crear 1 consejo Municipal de Mujeres  </t>
  </si>
  <si>
    <t xml:space="preserve">Numero de consejo creado </t>
  </si>
  <si>
    <t>Realizar 4 foros Municipales</t>
  </si>
  <si>
    <t xml:space="preserve">numero de foros realizados </t>
  </si>
  <si>
    <t xml:space="preserve">Realizar un encuentro Subregional  </t>
  </si>
  <si>
    <t xml:space="preserve">Numero de encuentro realizados </t>
  </si>
  <si>
    <t xml:space="preserve"> Ofrecer  Capacitaciones en artes y oficios a 1500 personas en 4 años.</t>
  </si>
  <si>
    <t xml:space="preserve">numero de personas capacitadas </t>
  </si>
  <si>
    <t>Realizar 4 celebraciones en 4 años</t>
  </si>
  <si>
    <t xml:space="preserve">Numero de celabraciones realizadas </t>
  </si>
  <si>
    <t>Realizar 8  integraciones s en 4 años</t>
  </si>
  <si>
    <t xml:space="preserve">Realizar 5 encuentros educativos   al año en reconocimiento de derechos para este tipo de población </t>
  </si>
  <si>
    <t xml:space="preserve">Numero de encuentros ejecutados </t>
  </si>
  <si>
    <t>400 mujeres beneficiadas</t>
  </si>
  <si>
    <t>Número de Mujeres Capacitadas</t>
  </si>
  <si>
    <t>5 microempresas formadas y constituidas</t>
  </si>
  <si>
    <t>numeros Microempresas confromadas.</t>
  </si>
  <si>
    <t>4 ferias agro artesanales en 4 años</t>
  </si>
  <si>
    <t>numero de docentes formados</t>
  </si>
  <si>
    <t>crear una escuela de liderazgo juvenil formada</t>
  </si>
  <si>
    <t>Número de escuelas formadas</t>
  </si>
  <si>
    <t>Realizar 24 asesorias,capacitaciones y campañas de prevencion</t>
  </si>
  <si>
    <t>Número de asesorias,capacitaciones y campañas realizadas</t>
  </si>
  <si>
    <t>Realizar 24 Escuelas de Familia Realizadas.</t>
  </si>
  <si>
    <t>Número de Escuelas de Familia realizadas</t>
  </si>
  <si>
    <t>80 jovenes con capacidades diferentes</t>
  </si>
  <si>
    <t xml:space="preserve">obtener 80 jovenes con capacidades especiales beneficiados </t>
  </si>
  <si>
    <t>Número de jóvenes beneficiarios</t>
  </si>
  <si>
    <t xml:space="preserve">35 grupos </t>
  </si>
  <si>
    <t>Asesorar 50 iniciativas juveniles asesoradas y acompañadas</t>
  </si>
  <si>
    <t>Número de iniciativas formadas,asesoradas y acompañadas</t>
  </si>
  <si>
    <t>Una red formada con 50 iniciativas juveniles</t>
  </si>
  <si>
    <t>Número de redes formadas</t>
  </si>
  <si>
    <t>crear Un acuerdo Municipal</t>
  </si>
  <si>
    <t xml:space="preserve">Número de acuerdos </t>
  </si>
  <si>
    <t>13 jovenes</t>
  </si>
  <si>
    <t>realizar 12 asesorias al Consejo Municipal de Juventud</t>
  </si>
  <si>
    <t>Número de asesorias realizadas</t>
  </si>
  <si>
    <t>2 intercolegiados</t>
  </si>
  <si>
    <t>Realizar 8 Intercolegiados culturales y recreativos</t>
  </si>
  <si>
    <t>Número de intercolegiados realizados</t>
  </si>
  <si>
    <t>4 Campamentos</t>
  </si>
  <si>
    <t xml:space="preserve">Realizar 8 Campamentos Juveniles </t>
  </si>
  <si>
    <t>Número de Campamentos realizados</t>
  </si>
  <si>
    <t>3 Semanas de la Juventud</t>
  </si>
  <si>
    <t>Ejecutar 4 semanas de la juventud realizadas</t>
  </si>
  <si>
    <t>Número de Semanas de la Juventud realizadas</t>
  </si>
  <si>
    <t xml:space="preserve">Atender 2000 personas </t>
  </si>
  <si>
    <t>Nùmero de personas beneficiadas</t>
  </si>
  <si>
    <t xml:space="preserve">Realizar la Elección 13 Cabildantes </t>
  </si>
  <si>
    <t>Elección Cabildo Adulto Mayor</t>
  </si>
  <si>
    <t>Efectuar 20 integraciones en el cuatrenio</t>
  </si>
  <si>
    <t>Número de  integraciones en el cuatrenio</t>
  </si>
  <si>
    <t>20 capacitaciones en  al personal que tenga a su cargo grupos de adulto mayor</t>
  </si>
  <si>
    <t>número de capacitaciones</t>
  </si>
  <si>
    <t>Facilitar la creación del grupo de teatro y el coro de la Edad Dorada</t>
  </si>
  <si>
    <t>Grupo de teatro y el Coro de la Edad Dorada</t>
  </si>
  <si>
    <t>Fortalecimiento y mantenimiento de la Banda Marcial y el Grupo de Danzas de la Edad Dorada</t>
  </si>
  <si>
    <t>Banda Marcial y Grupo de Danzas Edad Dorada</t>
  </si>
  <si>
    <t>Realizar un encuentro Subregional Adulto Mayor</t>
  </si>
  <si>
    <t>Encuentro Subregional Adulto Mayor</t>
  </si>
  <si>
    <t>Entrega subsido PPSAM</t>
  </si>
  <si>
    <t>Entrega subsidios Programa Juan Luís Londoño de la Cuesta. Modalidades Ración por Preparar -RPP- y Ración Preparada -RP-</t>
  </si>
  <si>
    <t>Establecer proyecto para  cofinanciar  entre el Municipio y la Gobernacón de Antioquia</t>
  </si>
  <si>
    <t>Proyecto   cofinanciado  entre el Municipio y la Gobernacón de Antioquia</t>
  </si>
  <si>
    <t>realizar 24 pagos del subsidio en el cuatrenio</t>
  </si>
  <si>
    <t xml:space="preserve">Numero de pagos realizados </t>
  </si>
  <si>
    <t xml:space="preserve">realizar 24 verificaciones de compromisos en el cuatreño </t>
  </si>
  <si>
    <t xml:space="preserve">numero de verificaciones programadas y realizadas </t>
  </si>
  <si>
    <t>realizar 4 capacitaciones en el cuatreño</t>
  </si>
  <si>
    <t>numero de capacitaciones programadas</t>
  </si>
  <si>
    <t>realizar 8 encuentros de cuidado en el cuateño</t>
  </si>
  <si>
    <t>realizar 4 asambleas generales en el cuatreño</t>
  </si>
  <si>
    <t xml:space="preserve">Numero de asambleas programadas </t>
  </si>
  <si>
    <t xml:space="preserve">mesas programadas con la UCR </t>
  </si>
  <si>
    <t xml:space="preserve">Numero de mesas programadas </t>
  </si>
  <si>
    <t xml:space="preserve">Garantizar 48 entregas del complemento de MANA </t>
  </si>
  <si>
    <t xml:space="preserve">Número de entregas realizadas </t>
  </si>
  <si>
    <t xml:space="preserve">Realizar muestro a los niños y niñas inscritos en el programa </t>
  </si>
  <si>
    <t xml:space="preserve">Número de pruebas programadas </t>
  </si>
  <si>
    <t xml:space="preserve">Realizar visitas domiciliarias para controlar el manejo del complemento </t>
  </si>
  <si>
    <t xml:space="preserve">Número de visitas programadas </t>
  </si>
  <si>
    <t>programar  varias actividades de desarrollo humano, con el ECA, padres de familia, distribuidores, recicladores, alumnos de las instituciones educativas, agentes ambientales, educadores</t>
  </si>
  <si>
    <t>Numero de actividades porgramadas</t>
  </si>
  <si>
    <t>Lograr que el 100% de las familias en pobreza extrema tengan sus documentos de identidad, los hombres tengan libreta militar y la familia esté registrada en la base de datos del SISBÉN.</t>
  </si>
  <si>
    <t>Lograr que el 30% a 50% de las familias acompañadas por la Red UNIDOS superen su situación de pobreza extrema</t>
  </si>
  <si>
    <t>Generar capacidades laborales en el 100% de las familias UNIDOS y promover su vinculación laboral efectiva.</t>
  </si>
  <si>
    <t>Promover que el 100% de los adultos mayores de 60 años tengan una fuente de ingreso o sustento económico.</t>
  </si>
  <si>
    <t>Garantizar que el 100% de los niños y niñas menores de 5 años acceden a algún programa de atención integral en cuidado, nutrición y educación inicial.</t>
  </si>
  <si>
    <t>Lograr que 100% de los niños, niñas, adolescentes y jóvenes accedan al ciclo básico de educación, incluida la población en discapacidad y que los adultos estén alfabetizados.</t>
  </si>
  <si>
    <t>Lograr que 80% de los adultos estén alfabetizados.</t>
  </si>
  <si>
    <t>Lograr que el 80% de las personas que lo desean continúen su preparación profesional.</t>
  </si>
  <si>
    <t>Ningún niño o niña menor de 15 años vinculado a actividades laborales.</t>
  </si>
  <si>
    <t xml:space="preserve">Vincular al 100% de las personas en pobreza extrema al Sistema de Seguridad Social en Salud y de promoción y prevención </t>
  </si>
  <si>
    <t>Beneficiar al 80% de las familias en pobreza extrema a través de subsidios de vivienda nueva, mejoramientos, construcción en sitio propio y asesoramiento en titulación de predios, de acuerdo a sus necesidades.</t>
  </si>
  <si>
    <t>Lograr que el 100% de las familias cumpla los logros priorizados en el plan familiar</t>
  </si>
  <si>
    <t>Promover la vinculación del 50% de las familias al sistema financiero y generar cultura de ahorro.</t>
  </si>
  <si>
    <t>Promover que el 100% de las familias en pobreza extrema conozcan las rutas de atención de los servicios de justicia y accedan a estos de manera oportuna y eficaz.</t>
  </si>
  <si>
    <t xml:space="preserve">Crear una base de datos de la población ETNICA </t>
  </si>
  <si>
    <t>Número de bases creadas</t>
  </si>
  <si>
    <t>Lograr quela población ETNICA se beneficie de los programas y proyectos.</t>
  </si>
  <si>
    <t>Numero de población beneficiada</t>
  </si>
  <si>
    <t xml:space="preserve">Conformar una asociación </t>
  </si>
  <si>
    <t>66.6</t>
  </si>
  <si>
    <t xml:space="preserve">$ 47´904.000 </t>
  </si>
  <si>
    <t>0.25</t>
  </si>
  <si>
    <t>0.30</t>
  </si>
  <si>
    <t>0.23</t>
  </si>
  <si>
    <t>0.24</t>
  </si>
  <si>
    <t>1.00</t>
  </si>
  <si>
    <t>0.50</t>
  </si>
  <si>
    <t>FUCN</t>
  </si>
  <si>
    <t>EPM</t>
  </si>
  <si>
    <t xml:space="preserve">FUCN - SENA </t>
  </si>
  <si>
    <t>Gobernacion de Antioquia y otras entidades</t>
  </si>
  <si>
    <t>Ministerio de Protección Social</t>
  </si>
  <si>
    <t>Gobernación de Antioquia</t>
  </si>
  <si>
    <t>Accion Social</t>
  </si>
  <si>
    <t xml:space="preserve">Gobernacion de Antioquia </t>
  </si>
  <si>
    <t xml:space="preserve">Gobernación de Antioquia </t>
  </si>
  <si>
    <t xml:space="preserve">UMATA y Dirección de Cultura Ciudadana y Desarrollo  Social </t>
  </si>
  <si>
    <t xml:space="preserve">Dirección de Cultura Ciudadana y Desarrollo Social </t>
  </si>
  <si>
    <t xml:space="preserve">CASA DE LA MUJER </t>
  </si>
  <si>
    <t>Casa de la Juventud</t>
  </si>
  <si>
    <t>Casa de la Edad Dorada</t>
  </si>
  <si>
    <t xml:space="preserve">Enlace Municipal </t>
  </si>
  <si>
    <t>ECA</t>
  </si>
  <si>
    <t>RED UNIDOS (COGESTORES=</t>
  </si>
  <si>
    <t>Capacitaciones en agroecología, Buenas prácticas agrícolas (BPA) y sistemas de producción alternativos.</t>
  </si>
  <si>
    <t>Capacitar productores agrícolas en agroecología, buenas prácticas y sistemas de producción.</t>
  </si>
  <si>
    <t xml:space="preserve">Implementar huertas agroecológicas </t>
  </si>
  <si>
    <t>Implementación de Unidades integrales demostrativas con lineamientos agroecológicos en Instituciones educativas</t>
  </si>
  <si>
    <t>Implementar Granjas demostrativas integrales</t>
  </si>
  <si>
    <t>Capacitaciones para el Fortalecimiento de la gestión agro empresarial.</t>
  </si>
  <si>
    <t>Capacitar en emprendimiento y mercadeo agrícola</t>
  </si>
  <si>
    <t>Programa de uso eficiente y adecuado de fertilizantes (Estudios de análisis de suelo y recomendación técnica)</t>
  </si>
  <si>
    <t>Capacitar a productores en el manejo de fertilizantes.</t>
  </si>
  <si>
    <t>Capacitaciones en el Programa de mejoramiento genético animal y biotecnología</t>
  </si>
  <si>
    <t>Capacitar en inseminación artificial para ganado bovino.</t>
  </si>
  <si>
    <t>Capacitaciones en el Programa de mayordomía y manejo de praderas.</t>
  </si>
  <si>
    <t>Capacitar a productores en manejo integral de la finca ganadera</t>
  </si>
  <si>
    <t>Implementación de alternativas para la alimentación animal tal como: ensilaje, heno, henolaje, bloques nutricionales</t>
  </si>
  <si>
    <t>Fomentar la implementación de alternativas alimenticias para alimentación animal</t>
  </si>
  <si>
    <t>Promoción de sistemas agroforestales y silvopastoriles</t>
  </si>
  <si>
    <t>Implementar programas alternativos de manejo animal.</t>
  </si>
  <si>
    <t>Fomento de la avicultura en la linea de producción de huevo comercial como alternativa productiva y para abastecimiento a los restaurantes escolares</t>
  </si>
  <si>
    <t>Implementar unidades productivas avícolas para producción de huevo comercial</t>
  </si>
  <si>
    <t xml:space="preserve">Fomentar las Huertas escolares y familiares como base de seguridad alimentaria y estímulo productivo. </t>
  </si>
  <si>
    <t xml:space="preserve">Fomentar el establecimiento de huertas caseras y escolares. </t>
  </si>
  <si>
    <t>Sostenimiento y fortalecimiento  de los programas de producción piscícola.</t>
  </si>
  <si>
    <t>Fomentar la piscicultura como alterantiva productiva y de seguridad alimentaria</t>
  </si>
  <si>
    <t>Fomento del programa de cultivos masivos: papa, tomate aliño, frijol, maíz, alverja, hortalizas, verduras, frutales, aguacate</t>
  </si>
  <si>
    <t>Fomentar e implementar alterantivas productivas de cultivos de pan coger</t>
  </si>
  <si>
    <t>Fortalecimiento de restaurantes escolares</t>
  </si>
  <si>
    <t>Realizar Seguimiento y acompañamiento a las Instituciones Educativas con la cobertura de restaurantes escolares.</t>
  </si>
  <si>
    <t>Formulación de planes de manejo ambiental (PMA) para las reservas naturales municipales</t>
  </si>
  <si>
    <t>Fortalecimiento de los programas de reforestación de microcuencas y reservas forestales</t>
  </si>
  <si>
    <t>Realización de capacitaciones y charlas en el tema de conservación y manejo de los recursos agua, suelo, bosque, fauna y flora</t>
  </si>
  <si>
    <t xml:space="preserve">Capacitar en el manejo, cuidado y conservación de los recursos  y ecosistemas naturales. </t>
  </si>
  <si>
    <t>Implementación de viveros con plantas nativas para conservación del agua  y protección de reservas forestales.</t>
  </si>
  <si>
    <t>Implementar viveros con material vegetativo para programas de reforestación</t>
  </si>
  <si>
    <t>Compra de tierras por parte del municipio para la conservación y protección de cuencas hidrográficas</t>
  </si>
  <si>
    <t>Adquirir tierras en áreas de reserva forestal y protección de acueductos</t>
  </si>
  <si>
    <t xml:space="preserve">Programas de Sensibilización y Educación ambiental y Fortalecimiento de los PRAES y PROCEDA en el municipio </t>
  </si>
  <si>
    <t>Creación del grupo de veedores ambientales</t>
  </si>
  <si>
    <t>Implementar grupo Vigilancia de Control del Comparendo Ambiental VICO</t>
  </si>
  <si>
    <t>Formulación del Plan Ambiental Municipal (PAMB)</t>
  </si>
  <si>
    <t>Implementar del Plan Ambiental Municipal</t>
  </si>
  <si>
    <t>Sensibilización a la comunidad en las buenas prácticas de separación y almacenamiento de residuos sólidos.</t>
  </si>
  <si>
    <t>Evaluación del Plan de Gestión Integral de Residuos Sólidos -PGIRS</t>
  </si>
  <si>
    <t>Fortalecimiento de programas de reforestación de microcuencas y reservas forestales</t>
  </si>
  <si>
    <t>Intervenir predios de reserva forestal y micro cuencas con reforestación y protección</t>
  </si>
  <si>
    <t>Estudio de macroproyecto para acueducto multiveredal para el municipio</t>
  </si>
  <si>
    <t>Diseñar, evaluar y formular macroproyecto de acueducto multiveredal  urbano</t>
  </si>
  <si>
    <t>Fomento a la  Industrialización para dar valor agregado a productos agropecuarios.</t>
  </si>
  <si>
    <t>Fomentar y estimular la agroindustralización para la transformación de productos agropecuarios</t>
  </si>
  <si>
    <t>Implementar el CENTRO DE DESARROLLO TECNOLOGICO</t>
  </si>
  <si>
    <t>Implementar un Centro de Investigaciones y aplicación de tecnologías innovadoras</t>
  </si>
  <si>
    <t>Fomento a programas de CIENCIA, TECNOLOGÍA e INNOVACION.</t>
  </si>
  <si>
    <t>Desarrollar programas de formación práctico-educativa estimulando la investigación y la inmersión en tecnologías de punta</t>
  </si>
  <si>
    <t>Estimular el crecimiento agropecuario e industrial a través del crédito y microcrédito de fomento</t>
  </si>
  <si>
    <t>Realización de eventos de capacitación y transferencia de Tecnologia: foros, talleres, seminarios, conferencias, conversatorios</t>
  </si>
  <si>
    <t>Realizar eventos abiertos para divulgación formativa y tecnológica</t>
  </si>
  <si>
    <t>75 personas capacitadas</t>
  </si>
  <si>
    <t xml:space="preserve">600 productores capacitados                </t>
  </si>
  <si>
    <t xml:space="preserve">No productores capacitados </t>
  </si>
  <si>
    <t>120 huertas implementadas</t>
  </si>
  <si>
    <t>Huertas implementadas</t>
  </si>
  <si>
    <t>4 Granjas implementadas</t>
  </si>
  <si>
    <t>16 Granjas integrales implementadas</t>
  </si>
  <si>
    <t>Granjas integrales implementadas</t>
  </si>
  <si>
    <t>1 Centro de acopio implementado             44 mercasueños realizados</t>
  </si>
  <si>
    <t>240 productores capacitados</t>
  </si>
  <si>
    <t>No productores capacitados</t>
  </si>
  <si>
    <t>150 personas capacitadas</t>
  </si>
  <si>
    <t>196 personas capacitadas</t>
  </si>
  <si>
    <t xml:space="preserve">360 personas capacitadas                              </t>
  </si>
  <si>
    <t xml:space="preserve">No. personas capacitadas                </t>
  </si>
  <si>
    <t>45 predios intervenidos</t>
  </si>
  <si>
    <t>80 sistemas silvopastoriles implementados</t>
  </si>
  <si>
    <t>No. sistemas silvopastoriles implementados</t>
  </si>
  <si>
    <t>30 unidades productivas implementadas</t>
  </si>
  <si>
    <t>No. unidades productivas implementadas</t>
  </si>
  <si>
    <t>130 huertas caseras  en la zona urbana, 450 huertas rurales implementadas</t>
  </si>
  <si>
    <t>No. huertas implementadas</t>
  </si>
  <si>
    <t>375 estanques</t>
  </si>
  <si>
    <t>160 estanques piscícolas intervenidos</t>
  </si>
  <si>
    <t>No. productores piscícolas intervenidos</t>
  </si>
  <si>
    <t>48 predios implementados en diferentes cultivos masivos</t>
  </si>
  <si>
    <t>No. predios implementados</t>
  </si>
  <si>
    <t>18.093 estudiantes beneficiados</t>
  </si>
  <si>
    <t>19.600 estudiantes beneficiados</t>
  </si>
  <si>
    <t>No. estudiantes beneficiados con el programa</t>
  </si>
  <si>
    <t>24     capacitaciones</t>
  </si>
  <si>
    <t>No. personas capacitadas</t>
  </si>
  <si>
    <t>No. de viveros implementados</t>
  </si>
  <si>
    <t>150 Has. Adquiridas</t>
  </si>
  <si>
    <t>No. Has. Adquiridas</t>
  </si>
  <si>
    <t>4 programas</t>
  </si>
  <si>
    <t>5 PRAES y 8 PROCEDA implementados</t>
  </si>
  <si>
    <t>No. PRAES y No. PROCEDA implementados</t>
  </si>
  <si>
    <t>1 VICO implementado</t>
  </si>
  <si>
    <t>No. de VICO implementados</t>
  </si>
  <si>
    <t>1 PAMB</t>
  </si>
  <si>
    <t>No. PAMB implementados</t>
  </si>
  <si>
    <t>600 personas capactidas en MIRS</t>
  </si>
  <si>
    <t>No personas capacitadas</t>
  </si>
  <si>
    <t>1 PGIRS actualizar</t>
  </si>
  <si>
    <t>No. PGIRS actualizados</t>
  </si>
  <si>
    <t>53 predios intervenidos</t>
  </si>
  <si>
    <t>60 predios intervenidos</t>
  </si>
  <si>
    <t>No. predios intervenidos</t>
  </si>
  <si>
    <t>1 proyecto formulado</t>
  </si>
  <si>
    <t>No. proyectos formulados</t>
  </si>
  <si>
    <t>4 agroindustrias implementadas</t>
  </si>
  <si>
    <t>No. agroindustrias implementadas</t>
  </si>
  <si>
    <t>No. CDTs implementados</t>
  </si>
  <si>
    <t>8 eventos realizados</t>
  </si>
  <si>
    <t>No. eventos realizados</t>
  </si>
  <si>
    <t>CULTURA</t>
  </si>
  <si>
    <t>Fomento artìstico y cultural</t>
  </si>
  <si>
    <t>formaciòn Artìstica y cultural</t>
  </si>
  <si>
    <t>Escuelas Populares de Arte (EPAS)</t>
  </si>
  <si>
    <t>Formaciòn en Artes Visuales,Teatro, Danza y Mùsica</t>
  </si>
  <si>
    <t>CATEDRA SANTAROSANA</t>
  </si>
  <si>
    <t>Primaria Artìstica</t>
  </si>
  <si>
    <t>Formaciòn en Artes Plàsticas, Teatro, Danza y Mùsica</t>
  </si>
  <si>
    <t>formaciòn Rural</t>
  </si>
  <si>
    <t>Sensibilizaciòn en Artes plàsticasTeatro, Danza y Mùsica</t>
  </si>
  <si>
    <t>Proyecciòn Artìstica y Cultural</t>
  </si>
  <si>
    <t>Banda Escuela de Mùsica</t>
  </si>
  <si>
    <t>bandas de corregimientos</t>
  </si>
  <si>
    <t>Grupo de Teatro Infantil</t>
  </si>
  <si>
    <t xml:space="preserve">Grupo de Teatro Juvenil </t>
  </si>
  <si>
    <t>Coro y Estudiantina</t>
  </si>
  <si>
    <t>Grupo de Danzas</t>
  </si>
  <si>
    <t>Grupo de Artes Plàsticas</t>
  </si>
  <si>
    <t>Intercambio y Muestras Culturales</t>
  </si>
  <si>
    <t>Clausuras</t>
  </si>
  <si>
    <t>Exposiciones</t>
  </si>
  <si>
    <t>Intercambios Culturales</t>
  </si>
  <si>
    <t>carnavalito</t>
  </si>
  <si>
    <t>Muestras Artìsticas</t>
  </si>
  <si>
    <t>Plan de Literatura y Bibliotecas</t>
  </si>
  <si>
    <t>Revaluaciòn de las colecciones</t>
  </si>
  <si>
    <t>Sistematizaciòn de la Biblioteca</t>
  </si>
  <si>
    <t>Caja Viajera</t>
  </si>
  <si>
    <t>taller de Formaciòn de Escritores</t>
  </si>
  <si>
    <t>Fortalecimiento Institucional.</t>
  </si>
  <si>
    <t>Planificación cultural</t>
  </si>
  <si>
    <t>Plan Decenal Municipal de Cultura</t>
  </si>
  <si>
    <t>Concejo Municipal de Cultura</t>
  </si>
  <si>
    <t>Creaciòn Mesa Municipal de Artìstica y Educaciòn Fìsica</t>
  </si>
  <si>
    <t>Implementaciòn del sistema de informaciòn Local</t>
  </si>
  <si>
    <t>Fotatelecer la plataforma virtual Municipal en el àrea de  cultura y el arte.</t>
  </si>
  <si>
    <t>Apoyo de Publicaciones que registren nuestra historia y cultura concernientes en publicitadad o certàmenes artìsticos y culturales</t>
  </si>
  <si>
    <t>Capacitaciòn</t>
  </si>
  <si>
    <t>Capacitación a monitores artísticos.</t>
  </si>
  <si>
    <t>Implementación física y logística</t>
  </si>
  <si>
    <t>Creación de Galería Museo "Marco Tobón Mejía"</t>
  </si>
  <si>
    <t>3600 personas capacitadas durante los 4 años</t>
  </si>
  <si>
    <t>Personas capacitadas</t>
  </si>
  <si>
    <t>1 CATEDRA SANTAROSANA CONTRUIDA PARA TODA LA POBLACION</t>
  </si>
  <si>
    <t>1 TEXTO Y 50 % DE LA POBLACION SENCIBILIZADA</t>
  </si>
  <si>
    <t>5200 niños sencibilizados y formados en areas artisticas</t>
  </si>
  <si>
    <t>niños capacitados</t>
  </si>
  <si>
    <t>6000 niños, jovenes y adultos de la zona rural capacitados</t>
  </si>
  <si>
    <t>niños, jovenes y adultos capacitados</t>
  </si>
  <si>
    <t>600 niños y joves en los procesos de escuela banda de musica</t>
  </si>
  <si>
    <t>niños y jovenes capacitados en banda de musica</t>
  </si>
  <si>
    <t>3 bandas creadas en los corregimientos</t>
  </si>
  <si>
    <t>bandas creadas</t>
  </si>
  <si>
    <t>200 nilños capacitados en teatro durante los 4 años</t>
  </si>
  <si>
    <t>135 jñovenes formados en teartro durante los cuatro años</t>
  </si>
  <si>
    <t>jovenes formados</t>
  </si>
  <si>
    <t>280 niños, niñas y joves en grupos de coro y estudiantina</t>
  </si>
  <si>
    <t>1000 niños, niñas y jóvenes formados en grupo de proyección</t>
  </si>
  <si>
    <t>80 jovenes en grupo de proyección en el cuatrietnio</t>
  </si>
  <si>
    <t>44 clausuras con los grupos de proyección de la unidad cultural</t>
  </si>
  <si>
    <t>clausuras realizadas</t>
  </si>
  <si>
    <t>30exposiciones en la galeria de la unidad cultural y en subregionales o departamentales</t>
  </si>
  <si>
    <t>exposiciones realizadas</t>
  </si>
  <si>
    <t>80 intercambios culturales en el cuatrietnio</t>
  </si>
  <si>
    <t>intercambios culturales realizados</t>
  </si>
  <si>
    <t>4 carnavalitos en el cuatruietnio</t>
  </si>
  <si>
    <t>carnavalitos realizados</t>
  </si>
  <si>
    <t>240 muestras artísticas en el cuatrietnio</t>
  </si>
  <si>
    <t>muestras artisticas realizadas</t>
  </si>
  <si>
    <t>1 evaluación de las colecciones de la biblioteca</t>
  </si>
  <si>
    <t>evaluacion realizada</t>
  </si>
  <si>
    <t>1 sistematoizacion</t>
  </si>
  <si>
    <t>sistematizacion realizada</t>
  </si>
  <si>
    <t>40 salidas con caja viajera en el cuatrietnio</t>
  </si>
  <si>
    <t>salidas con la caja viajera realizadas</t>
  </si>
  <si>
    <t>4 tallerres en los 4 años</t>
  </si>
  <si>
    <t>talleres realizados</t>
  </si>
  <si>
    <t>1 plan decenal</t>
  </si>
  <si>
    <t>plan decenalmunicipal de cultura realizado</t>
  </si>
  <si>
    <t xml:space="preserve">1 consejo de cultura </t>
  </si>
  <si>
    <t>consejo municipal de cultura for4mado</t>
  </si>
  <si>
    <t>1 mesa de cultura creada</t>
  </si>
  <si>
    <t>mesa municipal de artistica y educación fisica conformada</t>
  </si>
  <si>
    <t>40  visitas en la internet para montar programacion</t>
  </si>
  <si>
    <t>fortalecimiestos reañlizados</t>
  </si>
  <si>
    <t>50 publicaciones y / o publicidades de eventos culturales</t>
  </si>
  <si>
    <t>publicaciones y publiciodades culturales realizadas</t>
  </si>
  <si>
    <t>4 capacitaciones a monitores artísticos</t>
  </si>
  <si>
    <t>capacitaciones realizadas</t>
  </si>
  <si>
    <t>1 galeria museo creada</t>
  </si>
  <si>
    <t>creacion galeria marcotobon</t>
  </si>
  <si>
    <t>epm</t>
  </si>
  <si>
    <t>gobernacion cofinanciacion</t>
  </si>
  <si>
    <t>ministerio</t>
  </si>
  <si>
    <t>IVA TEL CELULAR</t>
  </si>
  <si>
    <t>cultura</t>
  </si>
  <si>
    <t>EDUCACION CULTURA Y COMUNICACIONES</t>
  </si>
  <si>
    <t>cultura Y COMUNICACIONES</t>
  </si>
  <si>
    <t>CULTURA Y COMUNICACIONES</t>
  </si>
  <si>
    <t>SANTA ROSA CON EDUCACIÓN PARTICIPATIVA E INCLUYENTE</t>
  </si>
  <si>
    <t>ALIANZAS REGIONALES PARA LA PROSPERIDAD Y EL DESARROLLO</t>
  </si>
  <si>
    <t>Número de población beneficiada</t>
  </si>
  <si>
    <t>INCORPORACIÓN DE MEDIOS Y TECNOLOGÍAS EN TODOS LOS NIVELES EDUCATIVOS</t>
  </si>
  <si>
    <t xml:space="preserve">1 Centro de desarrollo regional en Ciencia , Tecnología e innovación creado </t>
  </si>
  <si>
    <t>SISTEMA DE EVALUACIÓN Y SEGUIMIENTO</t>
  </si>
  <si>
    <t>SISTEMA INTEGRAL DE CALIDAD</t>
  </si>
  <si>
    <t>Observatorio implementado</t>
  </si>
  <si>
    <t>DIGNIFICACIÓN DE AGENTES EDUCATIVOS</t>
  </si>
  <si>
    <t>INVERSIÓN PARA EL TALENTO Y BIENESTAR DOCENTE</t>
  </si>
  <si>
    <t>Escuelas de Familias saludables en la zona rural y urbana</t>
  </si>
  <si>
    <t>EDUCACIÓN</t>
  </si>
  <si>
    <t>EDUCACIÓN CON ENFOQUE DE DERECHO</t>
  </si>
  <si>
    <t>Números de estatutos aprobados</t>
  </si>
  <si>
    <t>Consultorio de vivienda</t>
  </si>
  <si>
    <r>
      <t xml:space="preserve">Creación del </t>
    </r>
    <r>
      <rPr>
        <sz val="9"/>
        <color theme="1"/>
        <rFont val="Arial"/>
        <family val="2"/>
      </rPr>
      <t>banco</t>
    </r>
    <r>
      <rPr>
        <sz val="9"/>
        <color rgb="FF000000"/>
        <rFont val="Arial"/>
        <family val="2"/>
      </rPr>
      <t xml:space="preserve"> de tierras</t>
    </r>
  </si>
  <si>
    <t xml:space="preserve">Capacitación en planeación y desarrollo físico a los funcionarios públicos y al gremio constructor </t>
  </si>
  <si>
    <t>Localización y adecuación de escombrera</t>
  </si>
  <si>
    <t>Número de Escombreras en funcionamiento</t>
  </si>
  <si>
    <t xml:space="preserve">Número de campañas realizadas </t>
  </si>
  <si>
    <t>FORTALECIMIENTO A LA ORGANIZACIÓN INSTITUCIONAL DEL SECTOR A NIVEL MUNICIPAL</t>
  </si>
  <si>
    <t>ORGANIZACIÓN ADMINISTRATIVA</t>
  </si>
  <si>
    <t>Conformación organizaciones deportivas y comités de apoyo</t>
  </si>
  <si>
    <t>Implementación del Registro Único Nacional del Sistema Nacional de Deporte</t>
  </si>
  <si>
    <t>EQUIPAMIENTO PARA EL ACCESO, PRACTICA Y DISFRUTE DEL DEPORTE, LA RECEREACIÓN, LA EDUCACION FISICA Y LA ACTIDAD FISICA</t>
  </si>
  <si>
    <t>COSNTRUCCION Y DOTACION Y EQUIPAMENTO</t>
  </si>
  <si>
    <t>Consecución de Transporte Bus</t>
  </si>
  <si>
    <t>8 Clubes</t>
  </si>
  <si>
    <t>Al termino del cuatrenio contar con (16) organizaciones deportivas Clubes y (6) comités de Apoyo</t>
  </si>
  <si>
    <t>Número de Clubes, Comités y Organizaciones Deportivas conformadas</t>
  </si>
  <si>
    <t>Consecución de un vehículo (Bus) para el transporte de los programas del Municipio</t>
  </si>
  <si>
    <t>Número de buses adquiridos</t>
  </si>
  <si>
    <t>construcción de (4) escenarios al 2.015 y Dotar (10) escenarios al 2015</t>
  </si>
  <si>
    <t>Número de escenarios Deportivos Construidos y dotados</t>
  </si>
  <si>
    <t xml:space="preserve">OPORTUNIDADES DE ACCESO A LA PRACTICA DEL DEPORTE, LA RECREACION, LA EDUCACION FISICA Y LA ACTIVIDAD FISICA </t>
  </si>
  <si>
    <t>SANTA ROSA ACTIVA Y SALUDABLE</t>
  </si>
  <si>
    <t>Al 2015 haber conformado 32 grupos de Actividad Física  en todo el Municipio</t>
  </si>
  <si>
    <t>Número de grupos conformados</t>
  </si>
  <si>
    <t>Centro de promoción de la Salud</t>
  </si>
  <si>
    <t>100 Usuarios</t>
  </si>
  <si>
    <t>Atender al 2015 300 personas y tener nueva sede para un mejor servicio al 2014</t>
  </si>
  <si>
    <t>Número de sedes Construidas y Número de Usuarios beneficiados</t>
  </si>
  <si>
    <t xml:space="preserve">RECREACION </t>
  </si>
  <si>
    <t>Dotación y Funcionamiento de la Ludoteca</t>
  </si>
  <si>
    <t>Atención integral, oportuna y Cualificada en la Ludoteca Infantil</t>
  </si>
  <si>
    <t>Número de Ludotecas dotadas y número de usuarios atendidos</t>
  </si>
  <si>
    <t>Vacaciones Recreativas</t>
  </si>
  <si>
    <t xml:space="preserve">2000 participantes de las Vacaciones Creativas en el Cuatrienio </t>
  </si>
  <si>
    <t xml:space="preserve">Número de Población beneficiada </t>
  </si>
  <si>
    <t>Ciclo vías</t>
  </si>
  <si>
    <t>Jornadas semanales con 200 participantes en el cuatrienio</t>
  </si>
  <si>
    <t>Número de Jornadas realizadas y Número de participantes activos </t>
  </si>
  <si>
    <t>OPORTUNIDADES DE ACCESO A LA PRACTICA DEL DEPORTE, LA RECREACION, LA EDUCACION FISICA Y LA ACTIVIDAD FISICA</t>
  </si>
  <si>
    <t>DEPORTE SOCIAL COMUNITARIO</t>
  </si>
  <si>
    <t>Deporte Estudiantil</t>
  </si>
  <si>
    <t>Centro de Iniciación y Formación Deportiva (CIFD)</t>
  </si>
  <si>
    <t>Escuelas Deportivas</t>
  </si>
  <si>
    <t>Eventos y Torneos Deportivos</t>
  </si>
  <si>
    <t>870 Alumnos Deportistas</t>
  </si>
  <si>
    <t>Beneficiar y atender a una población Deportista de 1300 alumnos en el cuatrienio</t>
  </si>
  <si>
    <t>Número de Alumnos Deportistas atendidos y beneficiados</t>
  </si>
  <si>
    <t>3000 Alumnos Deportistas</t>
  </si>
  <si>
    <t>Al 2015 tengamos un cubrimiento de 3600 deportistas</t>
  </si>
  <si>
    <t>Número de Alumnos Deportistas Beneficiados</t>
  </si>
  <si>
    <t>400 Alumnos en 11 Escuelas</t>
  </si>
  <si>
    <t>En el Cuatrienio tendremos 550 alumnos en las Escuelas Deportivas y en 14 disciplinas</t>
  </si>
  <si>
    <t>Número de Participantes y Número de Disciplinas Deportivas</t>
  </si>
  <si>
    <t>1,200 Usuarios Deportistas en 4 disciplinas</t>
  </si>
  <si>
    <t>Cubrir con el Programa a 1700 deportistas en 8 disciplinas deportivas</t>
  </si>
  <si>
    <t>Número de Participantes y número de disciplinas Deportivas</t>
  </si>
  <si>
    <t>INDEPORTES</t>
  </si>
  <si>
    <t>POLITICA PÚBLICA CON INCLUSIÓN Y EQUIDAD</t>
  </si>
  <si>
    <t xml:space="preserve">GESTIÓN DOCUMENTAL </t>
  </si>
  <si>
    <t xml:space="preserve">ACONDICIONAMIENTODEL  LOCAL PARA EL ARCHIVO MUNICIPAL </t>
  </si>
  <si>
    <t xml:space="preserve">Sede para el Archivo Central e Histórico del Municipio </t>
  </si>
  <si>
    <t>1 Sitio adecuado según la norma</t>
  </si>
  <si>
    <t xml:space="preserve">sede para archivo documental en funcionamiento  </t>
  </si>
  <si>
    <t xml:space="preserve">ORGANIZACIÓN DOCUMENTAL </t>
  </si>
  <si>
    <t>Elaboración e implementación de Tablas de Retención Documental -TRD</t>
  </si>
  <si>
    <t>1 TRD implementada</t>
  </si>
  <si>
    <t xml:space="preserve">Número de TRD en Funcionamiento </t>
  </si>
  <si>
    <t>EFICIENCIA  ADMINISTRATIVA</t>
  </si>
  <si>
    <t>Elaboración y aplicación de Tablas de Valoración Documental  -TVD</t>
  </si>
  <si>
    <t xml:space="preserve">1 TVD implementada </t>
  </si>
  <si>
    <t xml:space="preserve">Número de TVD  aplicadas </t>
  </si>
  <si>
    <t>SISTEMA DE CONTROL INTERNO Y SISTEMA DE GESTION DE CALIDAD</t>
  </si>
  <si>
    <t xml:space="preserve">MANEJO ADECUADO DEL SISTEMA DE GESTION DE CALIDAD </t>
  </si>
  <si>
    <t>Adquisición de software</t>
  </si>
  <si>
    <t>1 software adquirido</t>
  </si>
  <si>
    <t>Numero de software adquirido y en funcionamiento</t>
  </si>
  <si>
    <t>Certificación de procesos de calidad</t>
  </si>
  <si>
    <t xml:space="preserve">13 Procesos certificados </t>
  </si>
  <si>
    <t xml:space="preserve">Número de Procesos Certificados </t>
  </si>
  <si>
    <t>COMUNICACIÓN EFECTIVA Y OPORTUNA, CON INCLUSION Y PARTICIPACION</t>
  </si>
  <si>
    <t>GARANTIZAR LA COMUNICACIÓN DE LAS POLITICAS, PLANES PROGRAMAS, GESTION Y PROYECTOS DE LA ALCALDIA.</t>
  </si>
  <si>
    <t xml:space="preserve">Implementar estrategias de comunicación digital interna y externa. </t>
  </si>
  <si>
    <t>1 plataforma  digital (Intranet, sito web)</t>
  </si>
  <si>
    <t xml:space="preserve">Instalada </t>
  </si>
  <si>
    <t xml:space="preserve">Número de plataformas instaladas </t>
  </si>
  <si>
    <t>Realizar publicaciones  institucionales internas y externas.</t>
  </si>
  <si>
    <t xml:space="preserve">120 publicaciones realizadas </t>
  </si>
  <si>
    <t>Numero de publicaciones realizadas</t>
  </si>
  <si>
    <t>Montaje de la emisora institucional de interés público</t>
  </si>
  <si>
    <t>1  emisora en funcionamiento</t>
  </si>
  <si>
    <t xml:space="preserve">Emisora institucional funcionado </t>
  </si>
  <si>
    <t>Gestionar, para el montaje de un sistema digital de información a través de pantallas</t>
  </si>
  <si>
    <t xml:space="preserve">20 pantallas digitales instaladas y funcionando </t>
  </si>
  <si>
    <t xml:space="preserve">Numero de pantallas funcionando </t>
  </si>
  <si>
    <t>Gestión para obtener licencia y montaje de canal institucional</t>
  </si>
  <si>
    <t>1 canal institucional montado y en funcionamiento</t>
  </si>
  <si>
    <t xml:space="preserve">Canal institucional en funcionamiento </t>
  </si>
  <si>
    <t>ORIENTACION Y RUTA DE ATENCION DE VICTIMAS DEL CONFLICTO ARMADO</t>
  </si>
  <si>
    <t>CARACTERIZACION DE LAS VICTIMAS DEL CONFLICTO ARMADO</t>
  </si>
  <si>
    <t>Identificación de la población vulnerable atreves de una base de datos</t>
  </si>
  <si>
    <t>Designación de un funcionario responsable para la atención a las victimas</t>
  </si>
  <si>
    <t>INCLUSION SOCIAL</t>
  </si>
  <si>
    <t>Atención sicosocial y orientación jurídica</t>
  </si>
  <si>
    <t>Ayuda humanitaria inmediata (ley 1448 de 2011)</t>
  </si>
  <si>
    <t>Realizar un censo para el registro detallado de las víctimas del conflicto armado (receptora y expulsada)</t>
  </si>
  <si>
    <t>Número de censos realizados</t>
  </si>
  <si>
    <t>2 delegado y Responsable</t>
  </si>
  <si>
    <t>Creación de un cargo para la atención y guía en los procesos de la ley 1448 de 2011</t>
  </si>
  <si>
    <t>Número de Cargos creados y Número de Personas y Familias atendidas</t>
  </si>
  <si>
    <t xml:space="preserve"> Realizar 4 Socializaciones de los  programas y proyectos de beneficio para las víctimas.</t>
  </si>
  <si>
    <t>Número de sensibilizaciones ejecutadas</t>
  </si>
  <si>
    <t>80 Familias</t>
  </si>
  <si>
    <t>Atender y orientar al 100 % de la población víctima del conflicto</t>
  </si>
  <si>
    <t>Número de Población Atendida</t>
  </si>
  <si>
    <t>22 Familias</t>
  </si>
  <si>
    <t>Entregar la ayuda humanitaria  a las víctimas del conflicto armado</t>
  </si>
  <si>
    <t xml:space="preserve"> Número de población vulnerable atendida y apoyada</t>
  </si>
  <si>
    <t>EDUCACION PARA LA SUPERACION  DE LAS CONDICIONES DE VULNERABILIDAD</t>
  </si>
  <si>
    <t>Capacitación en proyectos de atención sostenible a madres cabeza de familia.</t>
  </si>
  <si>
    <t>designación de un funcionario responsable para la atención a las victimas</t>
  </si>
  <si>
    <t>Difusión masiva, prevención de las violaciones a los derechos humanos y al derecho internacional humanitario</t>
  </si>
  <si>
    <t>PARTICIPACION ACTIVA DE LAS VICTIMAS DEL CONFLICTO ARMADO</t>
  </si>
  <si>
    <t>Instalación del Comité de Justicia Transicional e implementación y fortalecimiento de mesas de participación ciudadana</t>
  </si>
  <si>
    <t>realizar 12 capacitaciones en proyectos de emprendimiento en el cuatrienio</t>
  </si>
  <si>
    <t xml:space="preserve">Número de capacitaciones realizadas </t>
  </si>
  <si>
    <t>Realizar 12 capacitaciones en fortalecimiento de competencias y capacidades en el cuatrienio</t>
  </si>
  <si>
    <t xml:space="preserve">Número de capacitaciones realizadas  </t>
  </si>
  <si>
    <t>realizar 8 campañas de difusión de los derechos humanos y la protección a la población víctima del conflicto armado</t>
  </si>
  <si>
    <t>Instalación de un Comité de Justicia Transicional, mediante acto administrativo.</t>
  </si>
  <si>
    <t>Número Comité Creados y aprobados</t>
  </si>
  <si>
    <t>ARCHIVO</t>
  </si>
  <si>
    <t>CONTROL  INTERNO</t>
  </si>
  <si>
    <t>COMUNICACIONES</t>
  </si>
  <si>
    <t>CONVIVENCIA   CIUDADANA</t>
  </si>
  <si>
    <t>PLAN INTEGRAL DE CONVIVENCIA Y SEGURIDAD CIUDADANA</t>
  </si>
  <si>
    <t>SEGURIDAD Y PREVENCION DE LA VIOLENCIA</t>
  </si>
  <si>
    <t xml:space="preserve">Prevención, neutralización y control del tráfico y consumo de estupefacientes </t>
  </si>
  <si>
    <t>70% del consumo y micro- tráfico de estupefacientes disminuido</t>
  </si>
  <si>
    <t>Número de expendios de sustancias psicoactivas desmanteladas</t>
  </si>
  <si>
    <t>DISMINUCION DE LOS INDICES DE CRIMINALIDAD</t>
  </si>
  <si>
    <t>Prevención de la comisión de delitos que afectan la seguridad ciudadana</t>
  </si>
  <si>
    <t>100 campañas de promulgación de normatividades en materia penal y contravenciones realizadas</t>
  </si>
  <si>
    <t xml:space="preserve">Número campañas realizadas </t>
  </si>
  <si>
    <t>PARTICIPACION CIUDADANA</t>
  </si>
  <si>
    <t>Implementación estrategia DARE</t>
  </si>
  <si>
    <t>12 Instituciones Educativas con implementación DARE</t>
  </si>
  <si>
    <t>Número de intervenciones  realizadas</t>
  </si>
  <si>
    <t xml:space="preserve">Fortalecimiento de la Red de Apoyo </t>
  </si>
  <si>
    <t>16 radios de comunicaciones adquiridos</t>
  </si>
  <si>
    <t>Número de radios en funcionamiento y adquiridos</t>
  </si>
  <si>
    <t>Conformación de Frentes de Seguridad</t>
  </si>
  <si>
    <t xml:space="preserve">20 alarmas comunitarias funcionando  </t>
  </si>
  <si>
    <t xml:space="preserve">Número de alarmas Comunitarias adquiridas y en funcionamiento </t>
  </si>
  <si>
    <t>Auxiliares bachilleres</t>
  </si>
  <si>
    <t>20 jóvenes auxiliares bachilleres en la Policía nacional, incorporados</t>
  </si>
  <si>
    <t xml:space="preserve">Número de Auxiliares Bachilleres prestando servicio en la Policía  </t>
  </si>
  <si>
    <t xml:space="preserve">Cine al Parque </t>
  </si>
  <si>
    <t>40 programas educativos de cine para niños, niñas y adolescentes del Municipio</t>
  </si>
  <si>
    <t>Número de Programas educativos realizados</t>
  </si>
  <si>
    <t>DISMINUCION DE LOS  INDICES DE CRIMINALIDAD</t>
  </si>
  <si>
    <t>Seguridad Visual permanente en la zona urbana del Municipio</t>
  </si>
  <si>
    <t>18 cámaras de vigilancia adquiridas</t>
  </si>
  <si>
    <t>Número cámaras instaladas y en funcionamiento</t>
  </si>
  <si>
    <t>Cambio de armamento por alimento</t>
  </si>
  <si>
    <t>4 campañas de desarme realizadas</t>
  </si>
  <si>
    <t>Número de Campañas realizadas</t>
  </si>
  <si>
    <t>Fortalecimiento del Parque Automotor</t>
  </si>
  <si>
    <t>7 motocicletas en funcionamiento</t>
  </si>
  <si>
    <t>Número de motocicletas en funcionamiento</t>
  </si>
  <si>
    <t xml:space="preserve">Disponibilidad del parque automotor para la prevención y atención de delitos </t>
  </si>
  <si>
    <t>5 vehículos</t>
  </si>
  <si>
    <t>7 vehículos con suministro de combustible</t>
  </si>
  <si>
    <t xml:space="preserve">Número de vehículos con suministro de combustible </t>
  </si>
  <si>
    <t>Instalación del CETRA (Centro Transitorio para Adolescentes infractores del Sistema Penal)</t>
  </si>
  <si>
    <t>Un CETRA adecuado y/o construido.</t>
  </si>
  <si>
    <t>Número de CETRAS adecuado y/o construido.</t>
  </si>
  <si>
    <t>Plan cuadrante</t>
  </si>
  <si>
    <t xml:space="preserve">2 zonas sectorizadas </t>
  </si>
  <si>
    <t>Número de zonas sectorizadas</t>
  </si>
  <si>
    <t>PLAN MAESTRO DE MOVILIDAD</t>
  </si>
  <si>
    <t>ESTABLECIMIENTO DE GARANTÍAS UNIVERSALES BÁSICAS DE LOS DERECHOS A TRAVÉS DE LA CORRESPONSABILIDAD ENTRE LA FAMILIA, EL ESTADO Y LA SOCIEDAD</t>
  </si>
  <si>
    <t>Número de Juntas Capacitadas</t>
  </si>
  <si>
    <t>SALUD</t>
  </si>
  <si>
    <t>Consolidación del banco de proyectos</t>
  </si>
  <si>
    <t>El Banco de Proyectos Municipal con estrategía grupal</t>
  </si>
  <si>
    <t>Los Proyectos imersos en una visión subregional</t>
  </si>
  <si>
    <t>Implementación del Sistema de Seguimiento y  Evaluación de Proyectos de Inversión. - SSEPI-</t>
  </si>
  <si>
    <t>Creación y puesta en marcha de grupo interdiciplinario para formulación de proyectos de inversión</t>
  </si>
  <si>
    <t>Formación a las comunidades  en formulación de proyectos</t>
  </si>
  <si>
    <t>Gestionar el desarrollo de proyectos suregionales.</t>
  </si>
  <si>
    <t xml:space="preserve">Un Sistema de Seguimiento y Evaluación de Proyectos de Inversión implementado  </t>
  </si>
  <si>
    <t>Un grupo interdiciplinario formado</t>
  </si>
  <si>
    <t xml:space="preserve">50 lideres de comunidades capacitados en formulación de proyectos </t>
  </si>
  <si>
    <t xml:space="preserve">40% de los proyectos formulados con visión subregional </t>
  </si>
  <si>
    <t xml:space="preserve">No de Sistemas de Seguimiento a Proyectos Implementado
No de sistemas de seguimiento a proyectos programado
</t>
  </si>
  <si>
    <t xml:space="preserve">No de grupos interdiciplinarios formados
No de grupos interdiciplinarios programados
</t>
  </si>
  <si>
    <t xml:space="preserve">No de líderes comuniatrios capacitados
No  de líderes comuniatrios programados
</t>
  </si>
  <si>
    <t xml:space="preserve">% de proyectos  con visión subregional formulados 
% de proyectos  con visión subregional programados
</t>
  </si>
  <si>
    <t>Dirección de Proyectos</t>
  </si>
  <si>
    <t>EDUCACION</t>
  </si>
  <si>
    <t>Estrategia ÉPICO-Dir Dllo Comunitario-ICBF</t>
  </si>
  <si>
    <t>SANEAMIENTO BASICO</t>
  </si>
  <si>
    <t>DLS-SANEAMIENTO BASICO-</t>
  </si>
  <si>
    <t>Corantioquia-Dir Planeacion Dir Infraestructura-DLS</t>
  </si>
  <si>
    <t>Saneamiento Basico</t>
  </si>
  <si>
    <t>ÉPICO(Educación partivipativa e incluyente)</t>
  </si>
  <si>
    <t>Fusión de Centros Educativos Rurales</t>
  </si>
  <si>
    <t>20 centros Educativos rurales fusionados en el cuatrienio</t>
  </si>
  <si>
    <t>Número de Centros Educativos fusionados</t>
  </si>
  <si>
    <t>Promoción de Educación Superior</t>
  </si>
  <si>
    <t>Número de estudiantes universitarios subsidiados</t>
  </si>
  <si>
    <t>Número de alianzas realizadas</t>
  </si>
  <si>
    <t>300 alfabetizadas en el cuatrienio</t>
  </si>
  <si>
    <t>Número de personas alfabetizadas</t>
  </si>
  <si>
    <t>PAVA (Proyecto alfabetización virtual asistida)</t>
  </si>
  <si>
    <t>ALFABETIZACIÓN</t>
  </si>
  <si>
    <t>Articulación  Media Técnica</t>
  </si>
  <si>
    <t xml:space="preserve">6 instituciones educativas articuladas en Media Técnica </t>
  </si>
  <si>
    <t>Número de instituciones educativas con programas de articulación</t>
  </si>
  <si>
    <t>Proyecto Yo y la Lectura yo y la Escritura</t>
  </si>
  <si>
    <t>50 establecimientos educativos con programas de lectura y escritura implementados</t>
  </si>
  <si>
    <t>Número de establecimientos beneficiados</t>
  </si>
  <si>
    <t>FORTALECIMIENTO DE LA RETENCIÓN ESCOLAR</t>
  </si>
  <si>
    <t>TRANSPORTE ESCOLAR</t>
  </si>
  <si>
    <t>ACCIONES PEDAGOGICAS DE INCLUSIÓN</t>
  </si>
  <si>
    <t>Número de instituciones beneficiadas</t>
  </si>
  <si>
    <t>PROMOCIÓN Y PREVENCIÓN</t>
  </si>
  <si>
    <t>Proyecto prevención escolar</t>
  </si>
  <si>
    <t>Número de establecimientos educativos con programas de prevención</t>
  </si>
  <si>
    <t>DESARROLLO DE COMPETENCIAS</t>
  </si>
  <si>
    <t>250 Estudiantes formados en investigación escolar</t>
  </si>
  <si>
    <t>Número de estudiantes formados en investigación escolar</t>
  </si>
  <si>
    <t>Bachilleres a la U</t>
  </si>
  <si>
    <t>Escuelas Inclusivas</t>
  </si>
  <si>
    <t>PERTINENCIA EDUCATIVA</t>
  </si>
  <si>
    <t>PUNTO VIVE DIGITAL</t>
  </si>
  <si>
    <t>1 PVD(Punto Vive Digital) gestionado y en funcionamiento</t>
  </si>
  <si>
    <t>INFRAESTRUCTURA TIC</t>
  </si>
  <si>
    <t>Número de establecimientos  educativos con soluciones tecnologicas implementadas</t>
  </si>
  <si>
    <t>Cátedra de Emprendimiento</t>
  </si>
  <si>
    <t>CENTRO DE  DESARROLLO REGIONAL EN CIENCIA,TECNOLOGIA E INNOVACIÓN</t>
  </si>
  <si>
    <t>70 servidores públicos certificados en ciudadanía digital</t>
  </si>
  <si>
    <t>Número de instituciones Educativas con cátedra implementada</t>
  </si>
  <si>
    <t>Número de docentes formados en el uso de las TIC"S</t>
  </si>
  <si>
    <t>Centro Regional de Ciencia Tecnología e innovación gestionado</t>
  </si>
  <si>
    <t>EFICIENCIA EN EL SERVICIO EDUCATIVO</t>
  </si>
  <si>
    <t>RUTA DE MEJORAMIENTO GESTION EDUCATIVA</t>
  </si>
  <si>
    <t>% de instituciones educativas con ruta de mejoramiento implementada</t>
  </si>
  <si>
    <t>OBSERVATORIO DE CALIDAD</t>
  </si>
  <si>
    <t>1Observatorio de calidad implementado</t>
  </si>
  <si>
    <t>MAESTROS DE CALIDAD</t>
  </si>
  <si>
    <t>Acuerdo aprobado</t>
  </si>
  <si>
    <t>ESCUELA DEL MAESTRO</t>
  </si>
  <si>
    <t>CERTIFICACION PROCESOS DE CALIDAD</t>
  </si>
  <si>
    <t>Secretaria de Educación certificada en calidad</t>
  </si>
  <si>
    <t>Número de procesos certificados</t>
  </si>
  <si>
    <t>Proyecto SIMBAD (Sistema de Investigación para la armonía, la bondad y el desarrollo)</t>
  </si>
  <si>
    <t>35  Establecimientos Educativos mejorados en infraestructura física y dotación en materiales de enseñanza</t>
  </si>
  <si>
    <t xml:space="preserve">Número de establecimientos educativos mejorados </t>
  </si>
  <si>
    <t>Politica Pública de Inclusión</t>
  </si>
  <si>
    <t>Politica Publica de Inclusión Social</t>
  </si>
  <si>
    <t xml:space="preserve">1 Escuela  del maestro gestionada  </t>
  </si>
  <si>
    <t>100% de instituciones Educativas con ruta de mejoramiento implementada</t>
  </si>
  <si>
    <t>CALIDAD EDUCATIVA</t>
  </si>
  <si>
    <t>1Política publica de inclusion implementada</t>
  </si>
  <si>
    <t>8 establecimientos educativos con programa de prevencion implementado</t>
  </si>
  <si>
    <t>6 instituciones educativas con programa de bilinguismo implementado</t>
  </si>
  <si>
    <t>50 establecimientos educativos con soluciones tecnologicas implementadas</t>
  </si>
  <si>
    <t>290 docentes formados en el uso de las TIC"S</t>
  </si>
  <si>
    <t>Numero de servidores públicos certificados</t>
  </si>
  <si>
    <t>200 estudiantes universitarios subsidiados en transporte escolar por año</t>
  </si>
  <si>
    <t>Transporte escolar</t>
  </si>
  <si>
    <t>Dotacion Materiales Educativos</t>
  </si>
  <si>
    <t>Competencias en Lengua Extranjera</t>
  </si>
  <si>
    <t>Dotacion Materiales educativos</t>
  </si>
  <si>
    <t>Ministerio de Educacion</t>
  </si>
  <si>
    <t>Ministerio de Telecomunicaciones</t>
  </si>
  <si>
    <t>1 Escuela del Maestro</t>
  </si>
  <si>
    <t xml:space="preserve"> </t>
  </si>
  <si>
    <t>5 alianzas con Instituciones de educación superior y /o programas de formación para el trabajo y desarrollo humano</t>
  </si>
  <si>
    <t>VALOR PROYECTADO A INVERTIR EN EL CUATRIENIO</t>
  </si>
  <si>
    <t>COLCIENCIAS</t>
  </si>
  <si>
    <t>8 instituciones educativas beneficiadas con programa bachilleres a la U</t>
  </si>
  <si>
    <t>Universidad de Antioquia</t>
  </si>
  <si>
    <t>Ministerio de Comunicaciones</t>
  </si>
  <si>
    <t>Ministerio de Comunicaciones,Gobernación</t>
  </si>
  <si>
    <t>OBJETIVO</t>
  </si>
  <si>
    <t>VALOR PROYECTO (miles de pesos)</t>
  </si>
  <si>
    <t>FUENTES DE INVERSION</t>
  </si>
  <si>
    <t>SGR</t>
  </si>
  <si>
    <t>TRANSFERENCIA SECTOR ELECTRICO</t>
  </si>
  <si>
    <t>No.</t>
  </si>
  <si>
    <t>BIENESTAR SOCIAL Y CONVIVENCIA CIUDADANA</t>
  </si>
  <si>
    <t>AMBIENTAL</t>
  </si>
  <si>
    <t>UMATA-SEC EDUCACION</t>
  </si>
  <si>
    <t>UMATA</t>
  </si>
  <si>
    <t xml:space="preserve">Centros Acopio implementados     </t>
  </si>
  <si>
    <t xml:space="preserve"> Mercasueños realizado</t>
  </si>
  <si>
    <t>UMATA-EMPRENDIMIENTO-SEC EDUCACION</t>
  </si>
  <si>
    <t>143 productores capacitados</t>
  </si>
  <si>
    <t>AGROPECUARIO</t>
  </si>
  <si>
    <t>UMATA-SENA-UNIVERSIDADES</t>
  </si>
  <si>
    <t xml:space="preserve">No. personas capacitadas                 </t>
  </si>
  <si>
    <t>4 alternativas de alimentación implementadas</t>
  </si>
  <si>
    <t>No. Alternativas de alimentacion bovina implementadas</t>
  </si>
  <si>
    <t>62.5%</t>
  </si>
  <si>
    <t>37.5</t>
  </si>
  <si>
    <t>UMATA-SENA-SEC AGRICULTURA</t>
  </si>
  <si>
    <t>UMATA-SENA-SEC AGRICULTURA-CORANTIOQUIA-EPM</t>
  </si>
  <si>
    <t>UMATA-SEC EDUCACION-SEC AGRICULTURA</t>
  </si>
  <si>
    <t>Realizar planes de ordenamiento de micro-cuecas del municipio</t>
  </si>
  <si>
    <t xml:space="preserve">4 planes de ordenamiento de microcuencas </t>
  </si>
  <si>
    <t>No. Planes de ordenamiento realizados</t>
  </si>
  <si>
    <t>UMATA-SEC MEDIO AMBIENTE-CORANTIOQUIA-EPM</t>
  </si>
  <si>
    <t>Implementación del Incentivo tribuario forestal, BONO SELLO VERDE</t>
  </si>
  <si>
    <t xml:space="preserve"> 1 BONO SELLO VERDE, implementado</t>
  </si>
  <si>
    <t>No. BONOS SELLO VERDE implemnetados</t>
  </si>
  <si>
    <t>UMATA-DIRECCION FINANCIERA</t>
  </si>
  <si>
    <t>240 personas capcitadas</t>
  </si>
  <si>
    <t>1 vivero (27.680 Plantulas)</t>
  </si>
  <si>
    <t>3 viveros implementados</t>
  </si>
  <si>
    <t>80 has (2 predios adquiridos)</t>
  </si>
  <si>
    <t>Sensibilización, capacitación e implementacion del Comparendo ambiental y fortalecer los PRAES y PROCEDA</t>
  </si>
  <si>
    <t>0 comparendos</t>
  </si>
  <si>
    <t>1 Comparendo ambiental implementado</t>
  </si>
  <si>
    <t>No. Comparendos implementados</t>
  </si>
  <si>
    <t>Actualizar y efectuar sensibilización y capacitación a la comunidad en manejo integral de residuos sólidos PGIRS</t>
  </si>
  <si>
    <t>UMATA-CORANTIOQUIA-EPM-SEC MEDIO AMBIENTE</t>
  </si>
  <si>
    <t>UMATA-SEC EDUCACION-UNIVERSIDADES</t>
  </si>
  <si>
    <t>Gestionar 1 CDT</t>
  </si>
  <si>
    <t>Realizar  3 ferias de la Ciencia que estimulen la creatvidad</t>
  </si>
  <si>
    <t>No. Ferias de la ciencia realizadas</t>
  </si>
  <si>
    <t>Fomentar la asociatividad y el emprendimiento con promocion de acceso  al crédito</t>
  </si>
  <si>
    <t>8 comunidades incluidas en programas de emprendimiento.</t>
  </si>
  <si>
    <t>No. Comunidades incluidas en programas de fomento</t>
  </si>
  <si>
    <t xml:space="preserve">4600 personas de grupo de hogares comunitarios( niños, familias, madres comunitarias) atendidas </t>
  </si>
  <si>
    <t>Número de población atendida</t>
  </si>
  <si>
    <t>SEDUCA</t>
  </si>
  <si>
    <t xml:space="preserve">Infraestructura Física  y Dotación de establecimientos educativos </t>
  </si>
  <si>
    <t>Dirección de Infraestructura,Dirección de Planeación</t>
  </si>
  <si>
    <t>COOPETRANSA</t>
  </si>
  <si>
    <t>SENA, SEDUCA</t>
  </si>
  <si>
    <t>SEDUCA, UNIVERSIDAD CATOLICA DEL NORTE</t>
  </si>
  <si>
    <t>Dotación de establecimientos educativos</t>
  </si>
  <si>
    <t>Racionalización Cobertura Transporte Escolar</t>
  </si>
  <si>
    <t>30% de racionalización en cobertura de transporte escolar</t>
  </si>
  <si>
    <t>% de racionalización realizada</t>
  </si>
  <si>
    <t>Convenios Cooperativas</t>
  </si>
  <si>
    <t>COOPETRANSA, COONISAN</t>
  </si>
  <si>
    <t>8 Instituciones Educativas con Programa de educación Inclusiva Implementado</t>
  </si>
  <si>
    <t>Número de  instituciones con programa implementado</t>
  </si>
  <si>
    <t>8 Instituciones Educativas con Escuelas de Familias Saludables implementadas</t>
  </si>
  <si>
    <t>Número de Instituciones Educativas  con programa de bilinguismo implementado</t>
  </si>
  <si>
    <t>6 instituciones educativas con cátedra de emprendimiento implementada</t>
  </si>
  <si>
    <t>0.5</t>
  </si>
  <si>
    <t>1 Acuerdo   Municipal de estimulo al Maestro</t>
  </si>
  <si>
    <t>ALCALDÍA</t>
  </si>
  <si>
    <t>CLUBES</t>
  </si>
  <si>
    <t>DEPORTE Y RECREACION</t>
  </si>
  <si>
    <t>Indeportes SRO Alcaldia Municipal, Clubes deportivos.</t>
  </si>
  <si>
    <t>Indeportes Antioquia</t>
  </si>
  <si>
    <t>indeportes SRO Alcaldia Muunicipal e Indeportes Antioquia</t>
  </si>
  <si>
    <t>Edad dorada, casa de la mujer, cultura, juventud, salud, desarrollo y deportes</t>
  </si>
  <si>
    <t xml:space="preserve">Toda el Area Social de la Alcaldia </t>
  </si>
  <si>
    <r>
      <t xml:space="preserve"> Ggestion para la construcción y dotación  </t>
    </r>
    <r>
      <rPr>
        <sz val="10"/>
        <color rgb="FF000000"/>
        <rFont val="Arial"/>
        <family val="2"/>
      </rPr>
      <t>Escenarios Deportivos</t>
    </r>
  </si>
  <si>
    <t>EPM-Gobernacion de Antioquia-Dir Salud-UMATA-Dir Educacion-Cultura</t>
  </si>
  <si>
    <r>
      <t>Aumentar los Grupo de</t>
    </r>
    <r>
      <rPr>
        <sz val="10"/>
        <color rgb="FF000000"/>
        <rFont val="Arial"/>
        <family val="2"/>
      </rPr>
      <t xml:space="preserve"> Actividad Física</t>
    </r>
  </si>
  <si>
    <t>0.05</t>
  </si>
  <si>
    <t>.35</t>
  </si>
  <si>
    <t>.60</t>
  </si>
  <si>
    <t>GESTION DOCUMENTAL</t>
  </si>
  <si>
    <t>EFICIENCIA ADMINISTRATIVA</t>
  </si>
  <si>
    <t>Gobernación de Antioquia-Dependencias Municipales</t>
  </si>
  <si>
    <t>0.6</t>
  </si>
  <si>
    <t>Control Interno</t>
  </si>
  <si>
    <t>DAFP-Gobernacion de Antioquia-Dependencias municipales</t>
  </si>
  <si>
    <t>0.1</t>
  </si>
  <si>
    <t>Gobernación de Antioquia-Minicomunicaciones-Dependencias Municipales</t>
  </si>
  <si>
    <t>Gobierno Nacional-Gobernación de Antioquia-Dependencias Municipales</t>
  </si>
  <si>
    <t>CONVIVENCIA CIUDADANA</t>
  </si>
  <si>
    <t>SEGURIDAD CIUDADANA</t>
  </si>
  <si>
    <t>Remodelacion Estacion de Policia Santa Rosa</t>
  </si>
  <si>
    <t>Una estacicón de policia remodelada</t>
  </si>
  <si>
    <t>Número de staciones remodeladas</t>
  </si>
  <si>
    <t>Legalización de propiedad horizontal de la terminal</t>
  </si>
  <si>
    <t>Transporte a todas las dependencias</t>
  </si>
  <si>
    <t>Demandas y contingncias judiciales</t>
  </si>
  <si>
    <t xml:space="preserve">   POR MI BIENESTAR</t>
  </si>
  <si>
    <t>Restablecer integralmente los derechos fundamentales de los niños, niñas, adolescentes y personas en condición de discapacidad</t>
  </si>
  <si>
    <t>Porcentaje de casos atendidos con derechos fundamentales restablecidos</t>
  </si>
  <si>
    <t xml:space="preserve">INFANCIA, ADOLESCENCIA Y JUVENTUD </t>
  </si>
  <si>
    <t xml:space="preserve">CONVIVENCIA CIUDADANA Y BIENESTAR SOCIAL </t>
  </si>
  <si>
    <t>GOBERNACION DE ANTIOQUIA-ICBF- DIR EDUCACIÓN -  DIR GOBIERNO-FISCALIAS-JUZGADO FAMILIA-POLICIA NAL - PERSONERIA MUNICIPAL</t>
  </si>
  <si>
    <t xml:space="preserve">GARANTIZAR LOS DERECHOS FUNDAMENTALES DE LAS FAMILIAS, NIÑOS, NIÑAS Y ADOLESCENTES DESDE LAS CATEGORÍAS DE DERECHOS, EXISTENCIA, PROTECCIÓN, CIUIDADANÍA Y DESARROLLO  (MATRIZ TOTOYA) </t>
  </si>
  <si>
    <t>Establecer y fortalecer medidas que garanticen en el núcleo familiar el cumplimiento de los derechos y deberes de sus miembros</t>
  </si>
  <si>
    <t>Numero de medidas adopatadas para el fortalecimiento del núcleo familiar</t>
  </si>
  <si>
    <t>Establecimiento de garantías universales básicas de los derechos a través de la corresponsabilidad entre la familia, el estado y la sociedad (Existencia, Desarrollo, Ciudadanía y Protección).</t>
  </si>
  <si>
    <t xml:space="preserve"> Porcentaje de niños, niñas y adolescentes reintegrados a sus familias de origen y extensas</t>
  </si>
  <si>
    <t>CONSTRUYENDO FAMILIA</t>
  </si>
  <si>
    <t>Formar a la población urbana y rural sobre pautas de norma y crianza</t>
  </si>
  <si>
    <t>Población urbana y rural formada en pautas de norma y crianza</t>
  </si>
  <si>
    <t>PROTECCION SOCIAL PARA LOS NIÑOS, NIÑAS Y ADOLESCENTES</t>
  </si>
  <si>
    <t>Atender de manera personalizada a las familias en situación de riesgo</t>
  </si>
  <si>
    <t>Número de familias atendidas directamente en los hogares</t>
  </si>
  <si>
    <t>Proteger a los niños, niñas y adolescentes en situación de abandono</t>
  </si>
  <si>
    <t>Porcentaje de niños, niñas y adolescentes ingresados a hogares de paso y sustitutos</t>
  </si>
  <si>
    <t>Facilitar el acceso a los niños, niñas y adolescentes en los programas y servicios del ICBF.</t>
  </si>
  <si>
    <t>Número de niños, niñas y adolescentes activos en los programas y/o servicios del ICBF</t>
  </si>
  <si>
    <t>CONCILIEMOS PACIFICAMENTE</t>
  </si>
  <si>
    <t>Propiciar espacios de capacitación sobre la importancia ,beneficio y cumplimiento con el suministro de la cuota alimentaria para mejorar la calidad de vida de los niños, niñas y adolescentes</t>
  </si>
  <si>
    <t>Número de espacios propiciados</t>
  </si>
  <si>
    <t xml:space="preserve"> ME REGISTRO POR QUE EXISTO</t>
  </si>
  <si>
    <t>Restablecer el derecho a la identidad de los niños, niñas y adolescentes</t>
  </si>
  <si>
    <t>Porcentaje de casos atendidos con derecho a la identidad restablecido</t>
  </si>
  <si>
    <t>ROMPIENDO EL SILENCIO</t>
  </si>
  <si>
    <t>Generar y/o crear espacios alternativos para que la sociedad informe y denuncie cualquier acto que ponga en riesgo el bienestar de los niños, niñas y adolescentes.</t>
  </si>
  <si>
    <t>Numero de espacios generados y/o creados</t>
  </si>
  <si>
    <t>MANEJO DE AFECTOS Y EMOCIONES</t>
  </si>
  <si>
    <t>Definir estrategias para la formación en salud sexual y reproductiva</t>
  </si>
  <si>
    <t>Numero de estrategias definidas</t>
  </si>
  <si>
    <t>Ningún niño, niña y/o adolescente en actividad perjudicial, maltratado, sometido y/o abusado (Existencia, Desarrollo, Ciudadanía y Protección)</t>
  </si>
  <si>
    <t xml:space="preserve">PROTEGER INTEGRALMENTE A LOS NIÑOS, NIÑAS Y ADOLESCENTES </t>
  </si>
  <si>
    <t>Definir acciones para la erradicación de las peores formas de trabajo infantil</t>
  </si>
  <si>
    <t>Numero de acciones definidas para la erradicación de las peores formas de trabajo infantil</t>
  </si>
  <si>
    <t xml:space="preserve"> FAMILIA EDUCADA</t>
  </si>
  <si>
    <t>Fortalecer y crear espacios educativos para promover en las familias, el autocuidado y el proyecto de vida.</t>
  </si>
  <si>
    <t>Numero de espacios creados y/o fortalecidos</t>
  </si>
  <si>
    <t>IDENTIFICAR PROBLEMAS DE DESNUTRICCIÓN CRONICA (TALLA/EDAD) LEVE, MODERADA Y SEVERA EN NIÑOS Y NIÑAS</t>
  </si>
  <si>
    <t>Gestionar centro de recuperación nutricional y psicosocial</t>
  </si>
  <si>
    <t>Gestión realizada</t>
  </si>
  <si>
    <t>Verificar el cumplimiento de derechos de los adolescentes inscritos en el sistema de responsabilidad penal (CETRA)</t>
  </si>
  <si>
    <t>Porcentaje de verificaciones de cumplimiento de derechos de los adolescentes inscritos en el sistema de responsabilidad penal</t>
  </si>
  <si>
    <t>JÓVENES CON FUTURO</t>
  </si>
  <si>
    <t>INCREMENTAR LA PARTICIPACIPACIÓN JUVENIL</t>
  </si>
  <si>
    <t>Fortalecer programas Salud y Promoción Preventiva para los Jóvenes</t>
  </si>
  <si>
    <t>Numero de programas fortalecidos</t>
  </si>
  <si>
    <t>Fortalecer espacios de participación y liderazgo juvenil</t>
  </si>
  <si>
    <t>Numero de espacios creados</t>
  </si>
  <si>
    <t>Celebrar con los jóvenes en los días especiales</t>
  </si>
  <si>
    <t>Numero de celebraciones realizadas</t>
  </si>
  <si>
    <t>$15,000,00</t>
  </si>
  <si>
    <t>Salud Publica</t>
  </si>
  <si>
    <t>Mejora a la Salud Materno - Infantil</t>
  </si>
  <si>
    <t>95% de la poblacion infantil con esquemas adecuados de vacunacion</t>
  </si>
  <si>
    <t>Cobertura de Esquemas completos de Vacunacion en menores de 5 años</t>
  </si>
  <si>
    <t>Ministerio de Salud, e IPS autorizadas</t>
  </si>
  <si>
    <t>cero casos de Muertes por IRA y EDA</t>
  </si>
  <si>
    <t>Reducion de la tasa de mortalidad infantil por cada 10 nacidos vivos</t>
  </si>
  <si>
    <t>DLS - Equipo de Salud Pública e IPS Territorial</t>
  </si>
  <si>
    <t xml:space="preserve"> 4 o más controles prenatales en las gestantes</t>
  </si>
  <si>
    <t>cero muertes maternas y perinatales por cada 100 mil nacidos vivos</t>
  </si>
  <si>
    <t>DLS -Profesional responsable del proyecto Salud Sexual y Reproductiva e IPS</t>
  </si>
  <si>
    <t>Todos los partos institucionales</t>
  </si>
  <si>
    <t>IPS Territorial</t>
  </si>
  <si>
    <t>Todas las gestantes antes de la semana 12 en programas de control prenatal</t>
  </si>
  <si>
    <t>Direccion Local de Salud, -Profesional responsable del proyecto Salud Sexual y Reproductiva e IPS</t>
  </si>
  <si>
    <t>Mejora a la Salud Sexual y Reproductiva</t>
  </si>
  <si>
    <t>Comunidad Educada en el uso de Metodos Anticonceptivos</t>
  </si>
  <si>
    <t>Prevalencia de uso de métodos de moderno de anticoncepción en las mujeres (15 y 49 años) actualmente unidas y no unidas, sexualmente activas</t>
  </si>
  <si>
    <t>Porcentaje de nacimientos mujeres de 15 a 49 años</t>
  </si>
  <si>
    <t>SD</t>
  </si>
  <si>
    <t>Menos embarazos en adolescentes</t>
  </si>
  <si>
    <t>Porcentaje de mujeres de 10 a 18 años que han sido madre o están en embarazo</t>
  </si>
  <si>
    <t>Citologías en mujeres en edad fértil</t>
  </si>
  <si>
    <t>Numero de citologías realizadas</t>
  </si>
  <si>
    <t>Enfermedades Cronicas</t>
  </si>
  <si>
    <t>12,7</t>
  </si>
  <si>
    <t>Prevencion de consumo de tabaco en menores</t>
  </si>
  <si>
    <t>Aumentar la edad promedio del inicio del consumo de cigarrillos</t>
  </si>
  <si>
    <t>Direccion Local de Salud,- Equipo de Salud Pública, Direccion de Educacion,  Cultura y Deporte e IPS Territorial</t>
  </si>
  <si>
    <t>Mas Instituciones libres de Humo</t>
  </si>
  <si>
    <t>Atencion integral a eventos de Tuberculosis</t>
  </si>
  <si>
    <t>Porcentaje de sintomáticos respiratorios detectados en consulta</t>
  </si>
  <si>
    <t>Porcentaje de curación de los pacientes con TB BK+</t>
  </si>
  <si>
    <t>Salud Mental</t>
  </si>
  <si>
    <t>Gestion de un Centro de tratamiento y rehabilitación</t>
  </si>
  <si>
    <t>centro de tratamiento y rehabilitación funcionando</t>
  </si>
  <si>
    <t>Gestion de una Adquisicion de unidad Movil</t>
  </si>
  <si>
    <t>Unidad Móvil de PyP operando</t>
  </si>
  <si>
    <t>Direccion Local de Salud</t>
  </si>
  <si>
    <t xml:space="preserve">Aseguramiento </t>
  </si>
  <si>
    <t>Afiliacion al SGSSS</t>
  </si>
  <si>
    <t>90,48%</t>
  </si>
  <si>
    <t xml:space="preserve">Universalizacion en la cobertura en la Afiliacion </t>
  </si>
  <si>
    <t>Porcentaje de afiliados al Régimen Subsidiado</t>
  </si>
  <si>
    <t xml:space="preserve"> 25,740,492,595 
</t>
  </si>
  <si>
    <t>Ministerio de Salud, Secretaria Seccional de Salud y Proteccion Social de Antioquia, Direccion Local de Salud, Entidad Promotoras de Salud</t>
  </si>
  <si>
    <t>Porcentaje de afiliados al Régimen Contributivo</t>
  </si>
  <si>
    <t>Direccion Local de Salud - Sistemas de Informacion</t>
  </si>
  <si>
    <t>PRESTACION DE LOS SERVICIOS DE SALUD</t>
  </si>
  <si>
    <t>Accesibilidad y prestacion de Servicios</t>
  </si>
  <si>
    <t>Todas las IPS habilitadas y acreditadas</t>
  </si>
  <si>
    <t>Número de IPS verificadas en el cumplimiento de la norma de Sistema Oblogatorio de la Garantia de la Calidad - SOGC</t>
  </si>
  <si>
    <t>Gestion de la Adecuacion y/o mejora de las Sedes de Salud rurales</t>
  </si>
  <si>
    <t>Número de Sedes adecuadas y / o mejoradas</t>
  </si>
  <si>
    <t>Infraestructura Fisica, Direccion Loca de Salud</t>
  </si>
  <si>
    <t>Poblacion pobre y no cubierta con subsidios a la demanda atendida con convenio administrativo</t>
  </si>
  <si>
    <t>Un convenio realizado</t>
  </si>
  <si>
    <t>Direccion Local de Salud e IPS Territorial</t>
  </si>
  <si>
    <t>Total</t>
  </si>
  <si>
    <t>x año</t>
  </si>
  <si>
    <t xml:space="preserve">EDUCACIÓN (SICEP) </t>
  </si>
  <si>
    <t>Política pública con inclusión y equidad</t>
  </si>
  <si>
    <t>Dirección de Cultura</t>
  </si>
  <si>
    <t>ORDENAMIENTO DEL TERRITORIO</t>
  </si>
  <si>
    <t>PLANEACION Y DESARROLLO URBANO</t>
  </si>
  <si>
    <t>OBJETIVO PRODUCTO</t>
  </si>
  <si>
    <t>Ajustar e implementar el PBOT municipal</t>
  </si>
  <si>
    <t>PBOT ajustado en implementacion</t>
  </si>
  <si>
    <t>Número de PBOT ajustado en implementacion</t>
  </si>
  <si>
    <t>Estatuto de planeacion aprobado por acuerdo</t>
  </si>
  <si>
    <t>Legalizar y/o titular el ciento por ciento de las propiedades sin claridad juridica, predial y/o constructiva</t>
  </si>
  <si>
    <t>Prorcentaje de propiedades legalizadas y/o tituladas</t>
  </si>
  <si>
    <t>Gestión para la creación e implementación de un Banco de tierras municipal</t>
  </si>
  <si>
    <t>Banco de tierras gestionado y/o reglamentado</t>
  </si>
  <si>
    <t>Capacitar en temas de planeación, construcción, legislación y ordenamiento territorial.</t>
  </si>
  <si>
    <t>Capacitaciones en temas de planeación, construcción, legislación y ordenamiento territorial.</t>
  </si>
  <si>
    <t>ESPACIO PUBLICO Y MOVILIDAD CON CALIDAD DE VIDA</t>
  </si>
  <si>
    <t>Dirección de Planeación</t>
  </si>
  <si>
    <t>Dirección de Planeación y Dir financiera</t>
  </si>
  <si>
    <t>Dirección de Planeación y Catastro</t>
  </si>
  <si>
    <t>Dirección de Planeación, Dir FOVIS</t>
  </si>
  <si>
    <t>Dirección de Planeación y corantioquia</t>
  </si>
  <si>
    <t>SERVICIOS PUBLICOS (AGUA POTABLE Y SANEAMIENTO BÁSICO)</t>
  </si>
  <si>
    <t>SUMINISTRO Y/O MEJORAMIENTO DE LOS SERVICIOS PÚBLICOS Y AMBIENTALES EN EL MUNICIPIO</t>
  </si>
  <si>
    <t>Gestión, optimización y/o ejecución de Planes Maestros de Acueducto y/o Alcantarillado</t>
  </si>
  <si>
    <t>Sistemas construidos, mejorados y/o optimizados</t>
  </si>
  <si>
    <t>Gestionar, construir y/o optimizar los sistemas de acueducto y alcantarillado en la zona rural, incluidos los C.E.R Municipales</t>
  </si>
  <si>
    <t>Número de planes maestros gestionados, optimizados y/o ejecutados</t>
  </si>
  <si>
    <t>Número de sistemas de acueducto y alcantarillado en la zona rural, incluidos los C.E.R Municipales construidos, mejorados y/o optimizados</t>
  </si>
  <si>
    <t>Capacitar a las juntas administradoras de acueductos rurales</t>
  </si>
  <si>
    <t>Numero de juntas administradoras de acueductos rurales capacitadas</t>
  </si>
  <si>
    <t>Legalización de las concesiones de Agua de todos los C.E.R del Municipio de Santa Rosa de Osos</t>
  </si>
  <si>
    <t>Número de Concesiones de agua legalizadas</t>
  </si>
  <si>
    <t>Optimizar el manejo de vertimiento en el área rural para mitigar la contaminación del suelo y las fuentes hídricas por la descarga de aguas residuales sin ningún tratamiento.</t>
  </si>
  <si>
    <t>Número de pozos sépticos gestionados y/o instalados</t>
  </si>
  <si>
    <t>Gestionar la construcción, adecuación y/o mantenimiento de la morgue municipal</t>
  </si>
  <si>
    <t>Morgue municipal adecuada</t>
  </si>
  <si>
    <t>Generar e implementar una política ambiental que haga del territorio, un municipio vivible, ambiental y económicamente sostenible, competitivo e incluyente.</t>
  </si>
  <si>
    <t>Saneamiento Basico-Dir Infraestructura-Dir Planeacion</t>
  </si>
  <si>
    <t>CONVIVENCIA CIUDADANA Y BIENESTAR SOCIAL</t>
  </si>
  <si>
    <t>INFANCIA, ADOLESCENCIA Y JUVENTUD</t>
  </si>
  <si>
    <t>Avanzar en la construccion colectiva de una ciudad moderna y humana, incluyente, solidaria y comprometida con el desarrollo del Estado Social de Derecho, ara avanzar en la reconciliacion entre sus habitantes.</t>
  </si>
  <si>
    <t>Mejorar las condicciones de seguridad vial y del sistema de transporte público para la movilidad</t>
  </si>
  <si>
    <t>Meta: Disminuir la accidentalidad y mejorar las condiciones de movilidad a la poblacion</t>
  </si>
  <si>
    <t>TRANSPORTE Y MOVILIDAD</t>
  </si>
  <si>
    <t>Elaborar un Plan Maestro de Movilidad Vial para el Municipio de Santa Rosa de Osos</t>
  </si>
  <si>
    <t>Elaborar e implementar Planes de Seguridad Vial a nivel local</t>
  </si>
  <si>
    <t xml:space="preserve">Numero de Planes de Seguridad Vial maestros implementados </t>
  </si>
  <si>
    <t>Identificar y atender los puntos de alta accidentalidad de la red vial</t>
  </si>
  <si>
    <t>Número de puntos de alta accidentalidad identificados en el Inventario de Infraestructura de Seguridad Vial</t>
  </si>
  <si>
    <t>Número de puntos de alta accidentalidad identificados</t>
  </si>
  <si>
    <t>Establecer cruces seguros en la red vial</t>
  </si>
  <si>
    <t>Porcentaje de vías señalizadas de influencia de la entidad territorial – Porcentaje de vías.</t>
  </si>
  <si>
    <t>Educar a la población sobre el uso adecuado de la infraestructura vial y su cuidado</t>
  </si>
  <si>
    <t>EDUCACION VIAL</t>
  </si>
  <si>
    <t>Número de campañas pedagógicas realizadas para la protección a usuarios más vulnerables (escuelas y colegios)</t>
  </si>
  <si>
    <t xml:space="preserve">Número de campañas pedagógicas realizadas </t>
  </si>
  <si>
    <t>Fortalecer el transporte público con criterios de eficiencia</t>
  </si>
  <si>
    <t>VALOS DEL PEOYECTO</t>
  </si>
  <si>
    <t>Soluciones de transporte público implementados-Cobertura de transporte.</t>
  </si>
  <si>
    <t>Reducir el porcentaje de accidentes de transito</t>
  </si>
  <si>
    <t>Soluciones de transporte público implementados-Cobertura de transporte público</t>
  </si>
  <si>
    <t>DIRECCIÓN DE TRÁNSITO</t>
  </si>
  <si>
    <t>Convenios de Tránsito con la Policía Nacional</t>
  </si>
  <si>
    <t>Apoyo adminstrativo</t>
  </si>
  <si>
    <t>Participación activa de las victimas en los proyectos y programas de la administración municipal</t>
  </si>
  <si>
    <t>RECURSOS GENERADOS</t>
  </si>
  <si>
    <t>POBLACION IMPACTADA</t>
  </si>
  <si>
    <t>PONDERADO ANUAL</t>
  </si>
  <si>
    <t>SECTOR</t>
  </si>
  <si>
    <t>PDM</t>
  </si>
  <si>
    <t>PESO EN EL PDM</t>
  </si>
  <si>
    <t>PESO EN EL SECTOR</t>
  </si>
  <si>
    <t>PESO DEL PROGRAMA EN PDM</t>
  </si>
  <si>
    <t>COSTO TOTAL DEL PROGRAMA EN PDM(miles de $)</t>
  </si>
  <si>
    <t>COSTO TOTAL PDM</t>
  </si>
  <si>
    <t>SEM 1 PONDERADO % EJECUCION</t>
  </si>
  <si>
    <t>SEM 2 PONDERADO %</t>
  </si>
  <si>
    <t>N°(Cant)</t>
  </si>
  <si>
    <t>Escombrera en funcionamiento</t>
  </si>
  <si>
    <t>$ por  Ejecutar</t>
  </si>
  <si>
    <t>ejemplo: contruccio de parques infantiles, (informacion en hipervinculo)</t>
  </si>
  <si>
    <t>Consecucion del lote</t>
  </si>
  <si>
    <t xml:space="preserve">Autorizacion (si son necesarias) </t>
  </si>
  <si>
    <t>Proceso de contratacion y/o Licitacion si se requiere</t>
  </si>
  <si>
    <t>CDP de Ejecucion</t>
  </si>
  <si>
    <t>Liquidacion y entrega</t>
  </si>
  <si>
    <r>
      <rPr>
        <b/>
        <sz val="11"/>
        <color theme="1"/>
        <rFont val="Calibri"/>
        <family val="2"/>
        <scheme val="minor"/>
      </rPr>
      <t>Estudios Previos</t>
    </r>
    <r>
      <rPr>
        <sz val="11"/>
        <color theme="1"/>
        <rFont val="Calibri"/>
        <family val="2"/>
        <scheme val="minor"/>
      </rPr>
      <t xml:space="preserve"> </t>
    </r>
  </si>
  <si>
    <t>Actividades para el desarrollo de la construccion de parques infantiles</t>
  </si>
  <si>
    <t xml:space="preserve">evaluacion de pósibles sitios </t>
  </si>
  <si>
    <t>(estudios de suelo, amenaza y riesgo)</t>
  </si>
  <si>
    <t>(etc)</t>
  </si>
  <si>
    <t>Es propio o requiere adquisicion?</t>
  </si>
  <si>
    <t xml:space="preserve">situacion juridica del predio, </t>
  </si>
  <si>
    <t xml:space="preserve">decision de compra o no, </t>
  </si>
  <si>
    <t xml:space="preserve">solicitar CDP, </t>
  </si>
  <si>
    <t>Diseño</t>
  </si>
  <si>
    <t>si es propio, --&gt; Diseño</t>
  </si>
  <si>
    <t>si es ajeno</t>
  </si>
  <si>
    <t xml:space="preserve"> (requiere avaluo, </t>
  </si>
  <si>
    <t>iniciar proceso de escrituracion y pago)</t>
  </si>
  <si>
    <t xml:space="preserve">Ejecucion o contruccion del proyecto, </t>
  </si>
  <si>
    <t>interventoria (informes)</t>
  </si>
  <si>
    <t>Presupuesto de ejecucion de Obra</t>
  </si>
  <si>
    <t>Tiempo (Dias)</t>
  </si>
  <si>
    <t xml:space="preserve">Estudios Previos </t>
  </si>
  <si>
    <t>Imprevistos</t>
  </si>
  <si>
    <t>% de ejecucion</t>
  </si>
  <si>
    <t>Revisión y ajuste del PBOT</t>
  </si>
  <si>
    <t>Estatuto de planeación</t>
  </si>
  <si>
    <t>CODIGO BPIM</t>
  </si>
  <si>
    <t>VALOR TOTAL PROYECTO (EJECUTADO)</t>
  </si>
  <si>
    <t>JUSTIFICACION DE MAYOR O MENOR VALOR SEGÚN VALOR PROYECTADO</t>
  </si>
  <si>
    <t>$ Por Ejecutar</t>
  </si>
  <si>
    <t>URBANA</t>
  </si>
  <si>
    <t>RURAL</t>
  </si>
  <si>
    <t>TOTAL</t>
  </si>
  <si>
    <t>Personal Ténico Dir Planeación-Convenios con Entidades-Corantioquia</t>
  </si>
  <si>
    <t xml:space="preserve">Efectuar como minimo 10 Capacitaciones en planeación y desarrollo físico a los funcionarios públicos y/o al gremio constructor </t>
  </si>
  <si>
    <t xml:space="preserve">Localizar y adecuar el sitio para funcionamiento de la escombrera municipal </t>
  </si>
  <si>
    <r>
      <t xml:space="preserve">Crear y poner en funcionamiento el </t>
    </r>
    <r>
      <rPr>
        <sz val="9"/>
        <color theme="1"/>
        <rFont val="Arial"/>
        <family val="2"/>
      </rPr>
      <t>banco</t>
    </r>
    <r>
      <rPr>
        <sz val="9"/>
        <color rgb="FF000000"/>
        <rFont val="Arial"/>
        <family val="2"/>
      </rPr>
      <t xml:space="preserve"> de tierras municipal</t>
    </r>
  </si>
  <si>
    <t>Crear un mecanismo para legalizar y titular las viviendas sin claridad jurídica del municipio</t>
  </si>
  <si>
    <t>Conjuntamente con la Dir Financiera proyectar proyecto de acuerdo de estatuto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</si>
</sst>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\ #,##0_);[Red]\(&quot;$&quot;\ #,##0\)"/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&quot;$&quot;#,##0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[$$-240A]\ #,##0"/>
    <numFmt numFmtId="169" formatCode="0.0"/>
    <numFmt numFmtId="170" formatCode="&quot;$&quot;\ #,##0"/>
    <numFmt numFmtId="171" formatCode="#,##0.0"/>
    <numFmt numFmtId="172" formatCode="0.000%"/>
    <numFmt numFmtId="173" formatCode="0.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u/>
      <sz val="10"/>
      <color indexed="8"/>
      <name val="Arial"/>
      <family val="2"/>
    </font>
    <font>
      <b/>
      <u/>
      <sz val="9"/>
      <color indexed="10"/>
      <name val="Arial"/>
      <family val="2"/>
    </font>
    <font>
      <u/>
      <sz val="9"/>
      <color indexed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Calibri"/>
      <family val="2"/>
    </font>
    <font>
      <sz val="11"/>
      <color rgb="FF2A2A2A"/>
      <name val="Calibri"/>
      <family val="2"/>
      <scheme val="minor"/>
    </font>
    <font>
      <sz val="10"/>
      <color theme="1"/>
      <name val="Tahoma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22"/>
      <color theme="1"/>
      <name val="Tahoma"/>
      <family val="2"/>
    </font>
    <font>
      <sz val="18"/>
      <color theme="1"/>
      <name val="Tahoma"/>
      <family val="2"/>
    </font>
    <font>
      <sz val="16"/>
      <color theme="1"/>
      <name val="Tahoma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37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9" fontId="6" fillId="2" borderId="1" xfId="4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9" fontId="6" fillId="2" borderId="12" xfId="4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9" fontId="6" fillId="2" borderId="9" xfId="4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9" fontId="6" fillId="2" borderId="13" xfId="4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9" fontId="9" fillId="2" borderId="1" xfId="4" applyFont="1" applyFill="1" applyBorder="1" applyAlignment="1">
      <alignment horizontal="center" vertical="center" wrapText="1"/>
    </xf>
    <xf numFmtId="9" fontId="9" fillId="2" borderId="9" xfId="4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9" fontId="6" fillId="2" borderId="2" xfId="4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9" fontId="11" fillId="0" borderId="1" xfId="5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14" fillId="0" borderId="1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9" fontId="15" fillId="7" borderId="1" xfId="3" applyFont="1" applyFill="1" applyBorder="1" applyAlignment="1">
      <alignment horizontal="center"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/>
    <xf numFmtId="0" fontId="0" fillId="0" borderId="3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33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Fill="1" applyBorder="1" applyAlignment="1">
      <alignment vertical="justify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justify"/>
    </xf>
    <xf numFmtId="0" fontId="0" fillId="0" borderId="1" xfId="0" applyFont="1" applyBorder="1" applyAlignment="1">
      <alignment horizontal="left" vertical="justify"/>
    </xf>
    <xf numFmtId="0" fontId="0" fillId="0" borderId="1" xfId="0" applyFont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  <xf numFmtId="0" fontId="0" fillId="0" borderId="2" xfId="0" applyFont="1" applyBorder="1" applyAlignment="1">
      <alignment horizontal="center" vertical="justify"/>
    </xf>
    <xf numFmtId="0" fontId="0" fillId="7" borderId="2" xfId="0" applyFont="1" applyFill="1" applyBorder="1" applyAlignment="1">
      <alignment vertical="justify"/>
    </xf>
    <xf numFmtId="0" fontId="0" fillId="0" borderId="3" xfId="0" applyFont="1" applyFill="1" applyBorder="1" applyAlignment="1">
      <alignment horizontal="justify" vertical="justify"/>
    </xf>
    <xf numFmtId="0" fontId="0" fillId="0" borderId="3" xfId="0" applyFont="1" applyFill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justify" vertical="justify"/>
    </xf>
    <xf numFmtId="0" fontId="19" fillId="0" borderId="2" xfId="0" applyFont="1" applyBorder="1" applyAlignment="1">
      <alignment horizontal="center" vertical="justify"/>
    </xf>
    <xf numFmtId="0" fontId="19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justify"/>
    </xf>
    <xf numFmtId="0" fontId="19" fillId="0" borderId="1" xfId="0" applyFont="1" applyBorder="1" applyAlignment="1">
      <alignment horizontal="center" vertical="justify"/>
    </xf>
    <xf numFmtId="0" fontId="19" fillId="7" borderId="1" xfId="0" applyFont="1" applyFill="1" applyBorder="1" applyAlignment="1">
      <alignment vertical="justify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justify" vertical="justify"/>
    </xf>
    <xf numFmtId="0" fontId="0" fillId="0" borderId="2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19" fillId="0" borderId="1" xfId="0" applyFont="1" applyBorder="1"/>
    <xf numFmtId="0" fontId="19" fillId="0" borderId="2" xfId="0" applyFont="1" applyBorder="1" applyAlignment="1">
      <alignment vertical="justify"/>
    </xf>
    <xf numFmtId="0" fontId="0" fillId="9" borderId="1" xfId="0" applyFont="1" applyFill="1" applyBorder="1"/>
    <xf numFmtId="3" fontId="0" fillId="0" borderId="1" xfId="0" applyNumberFormat="1" applyFont="1" applyBorder="1"/>
    <xf numFmtId="0" fontId="0" fillId="7" borderId="2" xfId="0" applyFont="1" applyFill="1" applyBorder="1"/>
    <xf numFmtId="0" fontId="0" fillId="9" borderId="2" xfId="0" applyFont="1" applyFill="1" applyBorder="1"/>
    <xf numFmtId="6" fontId="0" fillId="0" borderId="2" xfId="0" applyNumberFormat="1" applyFont="1" applyBorder="1"/>
    <xf numFmtId="0" fontId="0" fillId="0" borderId="2" xfId="0" applyFont="1" applyBorder="1" applyAlignment="1">
      <alignment horizontal="justify"/>
    </xf>
    <xf numFmtId="6" fontId="0" fillId="7" borderId="2" xfId="0" applyNumberFormat="1" applyFont="1" applyFill="1" applyBorder="1" applyAlignment="1"/>
    <xf numFmtId="0" fontId="0" fillId="9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6" fontId="0" fillId="7" borderId="1" xfId="0" applyNumberFormat="1" applyFont="1" applyFill="1" applyBorder="1" applyAlignment="1"/>
    <xf numFmtId="0" fontId="0" fillId="0" borderId="1" xfId="0" applyFont="1" applyBorder="1" applyAlignment="1">
      <alignment horizontal="justify"/>
    </xf>
    <xf numFmtId="6" fontId="0" fillId="0" borderId="1" xfId="0" applyNumberFormat="1" applyFont="1" applyBorder="1" applyAlignment="1"/>
    <xf numFmtId="6" fontId="0" fillId="7" borderId="1" xfId="0" applyNumberFormat="1" applyFont="1" applyFill="1" applyBorder="1"/>
    <xf numFmtId="6" fontId="20" fillId="7" borderId="1" xfId="0" applyNumberFormat="1" applyFont="1" applyFill="1" applyBorder="1" applyAlignment="1"/>
    <xf numFmtId="6" fontId="0" fillId="0" borderId="1" xfId="0" applyNumberFormat="1" applyFont="1" applyBorder="1"/>
    <xf numFmtId="0" fontId="0" fillId="0" borderId="2" xfId="0" applyFont="1" applyBorder="1" applyAlignment="1">
      <alignment horizontal="justify" vertical="justify"/>
    </xf>
    <xf numFmtId="6" fontId="0" fillId="0" borderId="2" xfId="0" applyNumberFormat="1" applyFont="1" applyBorder="1" applyAlignment="1"/>
    <xf numFmtId="9" fontId="0" fillId="9" borderId="2" xfId="0" applyNumberFormat="1" applyFont="1" applyFill="1" applyBorder="1"/>
    <xf numFmtId="6" fontId="0" fillId="0" borderId="1" xfId="0" applyNumberFormat="1" applyFont="1" applyFill="1" applyBorder="1" applyAlignment="1"/>
    <xf numFmtId="0" fontId="0" fillId="9" borderId="3" xfId="0" applyFont="1" applyFill="1" applyBorder="1"/>
    <xf numFmtId="0" fontId="0" fillId="0" borderId="29" xfId="0" applyFont="1" applyBorder="1"/>
    <xf numFmtId="0" fontId="0" fillId="0" borderId="30" xfId="0" applyFont="1" applyBorder="1"/>
    <xf numFmtId="0" fontId="0" fillId="9" borderId="1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0" fontId="19" fillId="9" borderId="1" xfId="0" applyFont="1" applyFill="1" applyBorder="1"/>
    <xf numFmtId="6" fontId="19" fillId="7" borderId="1" xfId="0" applyNumberFormat="1" applyFont="1" applyFill="1" applyBorder="1" applyAlignment="1"/>
    <xf numFmtId="0" fontId="19" fillId="0" borderId="2" xfId="0" applyFont="1" applyBorder="1" applyAlignment="1">
      <alignment horizontal="justify"/>
    </xf>
    <xf numFmtId="9" fontId="19" fillId="9" borderId="2" xfId="0" applyNumberFormat="1" applyFont="1" applyFill="1" applyBorder="1"/>
    <xf numFmtId="0" fontId="19" fillId="0" borderId="2" xfId="0" applyFont="1" applyBorder="1"/>
    <xf numFmtId="0" fontId="19" fillId="9" borderId="2" xfId="0" applyFont="1" applyFill="1" applyBorder="1"/>
    <xf numFmtId="0" fontId="0" fillId="9" borderId="1" xfId="0" applyFill="1" applyBorder="1"/>
    <xf numFmtId="6" fontId="0" fillId="7" borderId="1" xfId="0" applyNumberFormat="1" applyFill="1" applyBorder="1" applyAlignment="1"/>
    <xf numFmtId="0" fontId="0" fillId="0" borderId="2" xfId="0" applyBorder="1"/>
    <xf numFmtId="0" fontId="0" fillId="9" borderId="2" xfId="0" applyFill="1" applyBorder="1"/>
    <xf numFmtId="0" fontId="0" fillId="0" borderId="2" xfId="0" applyBorder="1" applyAlignment="1">
      <alignment horizontal="justify"/>
    </xf>
    <xf numFmtId="9" fontId="0" fillId="9" borderId="2" xfId="0" applyNumberFormat="1" applyFill="1" applyBorder="1"/>
    <xf numFmtId="6" fontId="0" fillId="0" borderId="1" xfId="0" applyNumberFormat="1" applyBorder="1" applyAlignment="1"/>
    <xf numFmtId="3" fontId="0" fillId="0" borderId="2" xfId="0" applyNumberFormat="1" applyFont="1" applyBorder="1"/>
    <xf numFmtId="1" fontId="0" fillId="9" borderId="1" xfId="0" applyNumberFormat="1" applyFont="1" applyFill="1" applyBorder="1"/>
    <xf numFmtId="6" fontId="0" fillId="9" borderId="2" xfId="0" applyNumberFormat="1" applyFont="1" applyFill="1" applyBorder="1"/>
    <xf numFmtId="6" fontId="0" fillId="9" borderId="1" xfId="0" applyNumberFormat="1" applyFont="1" applyFill="1" applyBorder="1"/>
    <xf numFmtId="0" fontId="0" fillId="9" borderId="1" xfId="3" applyNumberFormat="1" applyFont="1" applyFill="1" applyBorder="1"/>
    <xf numFmtId="9" fontId="0" fillId="9" borderId="1" xfId="0" applyNumberFormat="1" applyFont="1" applyFill="1" applyBorder="1"/>
    <xf numFmtId="6" fontId="0" fillId="9" borderId="1" xfId="0" applyNumberFormat="1" applyFont="1" applyFill="1" applyBorder="1" applyAlignment="1">
      <alignment wrapText="1"/>
    </xf>
    <xf numFmtId="6" fontId="19" fillId="0" borderId="1" xfId="0" applyNumberFormat="1" applyFont="1" applyBorder="1" applyAlignment="1"/>
    <xf numFmtId="9" fontId="19" fillId="9" borderId="1" xfId="0" applyNumberFormat="1" applyFont="1" applyFill="1" applyBorder="1"/>
    <xf numFmtId="9" fontId="0" fillId="9" borderId="1" xfId="0" applyNumberFormat="1" applyFill="1" applyBorder="1"/>
    <xf numFmtId="0" fontId="1" fillId="9" borderId="1" xfId="3" applyNumberFormat="1" applyFont="1" applyFill="1" applyBorder="1"/>
    <xf numFmtId="0" fontId="0" fillId="0" borderId="1" xfId="0" applyBorder="1" applyAlignment="1">
      <alignment horizontal="justify" vertical="center"/>
    </xf>
    <xf numFmtId="0" fontId="0" fillId="0" borderId="2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justify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center" vertical="justify"/>
    </xf>
    <xf numFmtId="0" fontId="0" fillId="7" borderId="2" xfId="0" applyFill="1" applyBorder="1" applyAlignment="1">
      <alignment vertical="justify"/>
    </xf>
    <xf numFmtId="0" fontId="0" fillId="0" borderId="3" xfId="0" applyFill="1" applyBorder="1" applyAlignment="1">
      <alignment horizontal="justify" vertical="justify"/>
    </xf>
    <xf numFmtId="1" fontId="0" fillId="9" borderId="1" xfId="0" applyNumberFormat="1" applyFill="1" applyBorder="1"/>
    <xf numFmtId="0" fontId="0" fillId="0" borderId="2" xfId="0" applyBorder="1" applyAlignment="1">
      <alignment horizontal="justify" vertical="justify"/>
    </xf>
    <xf numFmtId="6" fontId="0" fillId="10" borderId="1" xfId="0" applyNumberFormat="1" applyFill="1" applyBorder="1" applyAlignment="1"/>
    <xf numFmtId="167" fontId="0" fillId="0" borderId="1" xfId="1" applyNumberFormat="1" applyFont="1" applyBorder="1"/>
    <xf numFmtId="1" fontId="0" fillId="9" borderId="1" xfId="2" applyNumberFormat="1" applyFont="1" applyFill="1" applyBorder="1"/>
    <xf numFmtId="167" fontId="0" fillId="0" borderId="1" xfId="1" applyNumberFormat="1" applyFont="1" applyBorder="1" applyAlignment="1"/>
    <xf numFmtId="167" fontId="0" fillId="0" borderId="2" xfId="1" applyNumberFormat="1" applyFont="1" applyBorder="1" applyAlignment="1"/>
    <xf numFmtId="167" fontId="0" fillId="0" borderId="2" xfId="1" applyNumberFormat="1" applyFont="1" applyBorder="1"/>
    <xf numFmtId="6" fontId="0" fillId="0" borderId="1" xfId="0" applyNumberFormat="1" applyBorder="1"/>
    <xf numFmtId="167" fontId="0" fillId="0" borderId="0" xfId="1" applyNumberFormat="1" applyFont="1" applyBorder="1"/>
    <xf numFmtId="1" fontId="0" fillId="9" borderId="0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4" xfId="0" applyBorder="1"/>
    <xf numFmtId="0" fontId="0" fillId="0" borderId="35" xfId="0" applyBorder="1"/>
    <xf numFmtId="0" fontId="0" fillId="7" borderId="2" xfId="0" applyFill="1" applyBorder="1" applyAlignment="1">
      <alignment horizontal="left" wrapText="1"/>
    </xf>
    <xf numFmtId="0" fontId="0" fillId="7" borderId="2" xfId="0" applyFont="1" applyFill="1" applyBorder="1" applyAlignment="1">
      <alignment horizontal="left" wrapText="1"/>
    </xf>
    <xf numFmtId="0" fontId="0" fillId="7" borderId="2" xfId="0" applyFont="1" applyFill="1" applyBorder="1" applyAlignment="1">
      <alignment horizontal="justify" vertical="justify"/>
    </xf>
    <xf numFmtId="0" fontId="0" fillId="7" borderId="1" xfId="0" applyFont="1" applyFill="1" applyBorder="1" applyAlignment="1">
      <alignment horizontal="justify" vertical="justify"/>
    </xf>
    <xf numFmtId="0" fontId="0" fillId="7" borderId="1" xfId="0" applyFont="1" applyFill="1" applyBorder="1"/>
    <xf numFmtId="0" fontId="0" fillId="7" borderId="2" xfId="0" applyFont="1" applyFill="1" applyBorder="1" applyAlignment="1">
      <alignment horizontal="justify" vertical="center"/>
    </xf>
    <xf numFmtId="0" fontId="0" fillId="7" borderId="1" xfId="0" applyFont="1" applyFill="1" applyBorder="1" applyAlignment="1">
      <alignment wrapText="1"/>
    </xf>
    <xf numFmtId="0" fontId="0" fillId="7" borderId="0" xfId="0" applyFont="1" applyFill="1"/>
    <xf numFmtId="0" fontId="19" fillId="7" borderId="2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0" borderId="51" xfId="0" applyFont="1" applyBorder="1" applyAlignment="1">
      <alignment horizontal="justify" vertical="center"/>
    </xf>
    <xf numFmtId="0" fontId="0" fillId="0" borderId="49" xfId="0" applyFont="1" applyBorder="1" applyAlignment="1">
      <alignment horizontal="justify" vertical="center"/>
    </xf>
    <xf numFmtId="0" fontId="0" fillId="0" borderId="52" xfId="0" applyFont="1" applyBorder="1" applyAlignment="1">
      <alignment horizontal="justify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justify" vertical="center"/>
    </xf>
    <xf numFmtId="0" fontId="0" fillId="0" borderId="51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4" xfId="0" applyBorder="1"/>
    <xf numFmtId="0" fontId="0" fillId="0" borderId="30" xfId="0" applyBorder="1"/>
    <xf numFmtId="0" fontId="0" fillId="0" borderId="3" xfId="0" applyBorder="1"/>
    <xf numFmtId="0" fontId="0" fillId="0" borderId="31" xfId="0" applyBorder="1"/>
    <xf numFmtId="0" fontId="0" fillId="0" borderId="29" xfId="0" applyBorder="1"/>
    <xf numFmtId="0" fontId="0" fillId="0" borderId="24" xfId="0" applyBorder="1"/>
    <xf numFmtId="0" fontId="0" fillId="0" borderId="48" xfId="0" applyBorder="1"/>
    <xf numFmtId="0" fontId="0" fillId="7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5" fillId="11" borderId="62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25" fillId="0" borderId="36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2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5" fillId="11" borderId="36" xfId="0" applyFont="1" applyFill="1" applyBorder="1" applyAlignment="1">
      <alignment vertical="center" wrapText="1"/>
    </xf>
    <xf numFmtId="0" fontId="25" fillId="11" borderId="18" xfId="0" applyFont="1" applyFill="1" applyBorder="1" applyAlignment="1">
      <alignment vertical="center" wrapText="1"/>
    </xf>
    <xf numFmtId="0" fontId="25" fillId="11" borderId="64" xfId="0" applyFont="1" applyFill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11" borderId="64" xfId="0" applyFont="1" applyFill="1" applyBorder="1" applyAlignment="1">
      <alignment horizontal="center" vertical="center" wrapText="1"/>
    </xf>
    <xf numFmtId="0" fontId="25" fillId="11" borderId="64" xfId="0" applyFont="1" applyFill="1" applyBorder="1" applyAlignment="1">
      <alignment horizontal="center" vertical="center"/>
    </xf>
    <xf numFmtId="0" fontId="0" fillId="11" borderId="62" xfId="0" applyFill="1" applyBorder="1" applyAlignment="1">
      <alignment vertical="center"/>
    </xf>
    <xf numFmtId="0" fontId="25" fillId="11" borderId="62" xfId="0" applyFont="1" applyFill="1" applyBorder="1" applyAlignment="1">
      <alignment horizontal="center" vertical="center"/>
    </xf>
    <xf numFmtId="0" fontId="25" fillId="11" borderId="62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vertical="center" wrapText="1"/>
    </xf>
    <xf numFmtId="0" fontId="25" fillId="11" borderId="62" xfId="0" applyFont="1" applyFill="1" applyBorder="1" applyAlignment="1">
      <alignment vertical="center" wrapText="1"/>
    </xf>
    <xf numFmtId="0" fontId="26" fillId="0" borderId="62" xfId="0" applyFont="1" applyBorder="1" applyAlignment="1">
      <alignment vertical="center" wrapText="1"/>
    </xf>
    <xf numFmtId="9" fontId="25" fillId="0" borderId="62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vertical="center" wrapText="1"/>
    </xf>
    <xf numFmtId="0" fontId="25" fillId="0" borderId="62" xfId="0" applyFont="1" applyBorder="1" applyAlignment="1">
      <alignment horizontal="justify" vertical="center"/>
    </xf>
    <xf numFmtId="0" fontId="26" fillId="0" borderId="6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justify" vertical="center" wrapText="1"/>
    </xf>
    <xf numFmtId="9" fontId="25" fillId="0" borderId="62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0" fillId="0" borderId="1" xfId="0" applyBorder="1" applyAlignment="1">
      <alignment horizontal="justify" vertical="justify" wrapText="1"/>
    </xf>
    <xf numFmtId="0" fontId="0" fillId="3" borderId="1" xfId="0" applyFill="1" applyBorder="1"/>
    <xf numFmtId="6" fontId="0" fillId="0" borderId="1" xfId="0" applyNumberFormat="1" applyFill="1" applyBorder="1" applyAlignment="1"/>
    <xf numFmtId="6" fontId="0" fillId="3" borderId="1" xfId="0" applyNumberFormat="1" applyFill="1" applyBorder="1"/>
    <xf numFmtId="0" fontId="25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/>
    <xf numFmtId="4" fontId="28" fillId="0" borderId="1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vertical="center" wrapText="1"/>
    </xf>
    <xf numFmtId="9" fontId="27" fillId="0" borderId="1" xfId="0" applyNumberFormat="1" applyFont="1" applyBorder="1"/>
    <xf numFmtId="6" fontId="27" fillId="0" borderId="1" xfId="0" applyNumberFormat="1" applyFont="1" applyBorder="1"/>
    <xf numFmtId="9" fontId="11" fillId="0" borderId="1" xfId="0" applyNumberFormat="1" applyFont="1" applyFill="1" applyBorder="1" applyAlignment="1">
      <alignment horizontal="center" vertical="center" wrapText="1"/>
    </xf>
    <xf numFmtId="6" fontId="11" fillId="0" borderId="1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wrapText="1"/>
    </xf>
    <xf numFmtId="0" fontId="27" fillId="0" borderId="1" xfId="0" applyFont="1" applyBorder="1" applyAlignment="1">
      <alignment wrapText="1"/>
    </xf>
    <xf numFmtId="9" fontId="11" fillId="0" borderId="1" xfId="5" applyFont="1" applyFill="1" applyBorder="1" applyAlignment="1">
      <alignment horizontal="center" vertical="center"/>
    </xf>
    <xf numFmtId="6" fontId="27" fillId="0" borderId="1" xfId="0" applyNumberFormat="1" applyFont="1" applyBorder="1" applyAlignment="1">
      <alignment wrapText="1"/>
    </xf>
    <xf numFmtId="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5" fillId="11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9" fontId="11" fillId="0" borderId="1" xfId="5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top" wrapText="1"/>
    </xf>
    <xf numFmtId="9" fontId="11" fillId="0" borderId="1" xfId="5" applyFont="1" applyFill="1" applyBorder="1" applyAlignment="1">
      <alignment vertical="top" wrapText="1"/>
    </xf>
    <xf numFmtId="6" fontId="11" fillId="0" borderId="1" xfId="2" applyNumberFormat="1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/>
    <xf numFmtId="9" fontId="26" fillId="0" borderId="1" xfId="0" applyNumberFormat="1" applyFont="1" applyBorder="1" applyAlignment="1"/>
    <xf numFmtId="9" fontId="26" fillId="0" borderId="1" xfId="0" applyNumberFormat="1" applyFont="1" applyBorder="1"/>
    <xf numFmtId="6" fontId="26" fillId="0" borderId="1" xfId="0" applyNumberFormat="1" applyFont="1" applyBorder="1" applyAlignment="1">
      <alignment vertical="center"/>
    </xf>
    <xf numFmtId="9" fontId="26" fillId="0" borderId="1" xfId="0" applyNumberFormat="1" applyFont="1" applyBorder="1" applyAlignment="1">
      <alignment vertical="center"/>
    </xf>
    <xf numFmtId="0" fontId="25" fillId="0" borderId="2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0" fontId="25" fillId="0" borderId="65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9" fontId="24" fillId="0" borderId="1" xfId="3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6" fontId="24" fillId="0" borderId="1" xfId="0" applyNumberFormat="1" applyFont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19" fillId="0" borderId="0" xfId="0" applyFont="1"/>
    <xf numFmtId="9" fontId="24" fillId="7" borderId="1" xfId="3" applyFont="1" applyFill="1" applyBorder="1" applyAlignment="1">
      <alignment horizontal="center" vertical="center"/>
    </xf>
    <xf numFmtId="6" fontId="24" fillId="0" borderId="2" xfId="0" applyNumberFormat="1" applyFont="1" applyBorder="1" applyAlignment="1">
      <alignment horizontal="center" vertical="center"/>
    </xf>
    <xf numFmtId="6" fontId="24" fillId="0" borderId="4" xfId="0" applyNumberFormat="1" applyFont="1" applyBorder="1" applyAlignment="1">
      <alignment horizontal="center" vertical="center"/>
    </xf>
    <xf numFmtId="9" fontId="24" fillId="0" borderId="1" xfId="3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0" fontId="24" fillId="7" borderId="1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horizontal="center" vertical="center"/>
    </xf>
    <xf numFmtId="9" fontId="24" fillId="0" borderId="2" xfId="0" applyNumberFormat="1" applyFont="1" applyBorder="1" applyAlignment="1">
      <alignment horizontal="center" vertical="center"/>
    </xf>
    <xf numFmtId="166" fontId="24" fillId="0" borderId="2" xfId="2" applyNumberFormat="1" applyFont="1" applyBorder="1" applyAlignment="1">
      <alignment horizontal="center" vertical="center"/>
    </xf>
    <xf numFmtId="0" fontId="19" fillId="0" borderId="0" xfId="0" applyFont="1" applyBorder="1"/>
    <xf numFmtId="0" fontId="0" fillId="0" borderId="0" xfId="0" applyBorder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7" borderId="0" xfId="0" applyFont="1" applyFill="1"/>
    <xf numFmtId="0" fontId="19" fillId="0" borderId="0" xfId="0" applyFont="1" applyAlignment="1">
      <alignment horizontal="center" vertical="center"/>
    </xf>
    <xf numFmtId="0" fontId="19" fillId="7" borderId="0" xfId="0" applyFont="1" applyFill="1"/>
    <xf numFmtId="0" fontId="0" fillId="0" borderId="0" xfId="0" applyAlignment="1">
      <alignment horizontal="center" vertical="center"/>
    </xf>
    <xf numFmtId="0" fontId="0" fillId="7" borderId="0" xfId="0" applyFill="1"/>
    <xf numFmtId="0" fontId="24" fillId="0" borderId="1" xfId="0" applyFont="1" applyBorder="1" applyAlignment="1">
      <alignment horizontal="left" vertical="center" wrapText="1"/>
    </xf>
    <xf numFmtId="43" fontId="25" fillId="0" borderId="1" xfId="1" applyFont="1" applyBorder="1" applyAlignment="1">
      <alignment vertical="center" wrapText="1"/>
    </xf>
    <xf numFmtId="2" fontId="26" fillId="0" borderId="1" xfId="3" applyNumberFormat="1" applyFont="1" applyBorder="1" applyAlignment="1">
      <alignment vertical="top" wrapText="1"/>
    </xf>
    <xf numFmtId="1" fontId="25" fillId="0" borderId="1" xfId="3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/>
    </xf>
    <xf numFmtId="6" fontId="26" fillId="0" borderId="1" xfId="0" applyNumberFormat="1" applyFont="1" applyBorder="1"/>
    <xf numFmtId="0" fontId="25" fillId="0" borderId="1" xfId="0" applyFont="1" applyBorder="1" applyAlignment="1">
      <alignment horizontal="left" vertical="top" wrapText="1"/>
    </xf>
    <xf numFmtId="0" fontId="2" fillId="0" borderId="0" xfId="0" applyFont="1"/>
    <xf numFmtId="0" fontId="34" fillId="11" borderId="6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9" fontId="6" fillId="0" borderId="1" xfId="5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11" borderId="62" xfId="0" applyFont="1" applyFill="1" applyBorder="1" applyAlignment="1">
      <alignment horizontal="center" vertical="center" wrapText="1"/>
    </xf>
    <xf numFmtId="0" fontId="36" fillId="11" borderId="62" xfId="0" applyFont="1" applyFill="1" applyBorder="1" applyAlignment="1">
      <alignment horizontal="center" vertical="center"/>
    </xf>
    <xf numFmtId="0" fontId="21" fillId="11" borderId="6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36" fillId="0" borderId="6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9" fontId="11" fillId="0" borderId="25" xfId="5" applyFont="1" applyFill="1" applyBorder="1" applyAlignment="1">
      <alignment horizontal="center" vertical="center" wrapText="1"/>
    </xf>
    <xf numFmtId="42" fontId="11" fillId="0" borderId="1" xfId="5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169" fontId="5" fillId="3" borderId="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1" fillId="0" borderId="0" xfId="0" applyFont="1"/>
    <xf numFmtId="9" fontId="7" fillId="0" borderId="1" xfId="0" applyNumberFormat="1" applyFont="1" applyFill="1" applyBorder="1" applyAlignment="1">
      <alignment horizontal="center" vertical="center" wrapText="1"/>
    </xf>
    <xf numFmtId="169" fontId="12" fillId="0" borderId="1" xfId="5" applyNumberFormat="1" applyFont="1" applyFill="1" applyBorder="1" applyAlignment="1">
      <alignment horizontal="center" vertical="center" wrapText="1"/>
    </xf>
    <xf numFmtId="9" fontId="12" fillId="0" borderId="1" xfId="5" applyNumberFormat="1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70" fontId="12" fillId="0" borderId="1" xfId="5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0" borderId="1" xfId="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 vertical="center" wrapText="1"/>
    </xf>
    <xf numFmtId="9" fontId="40" fillId="0" borderId="1" xfId="5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171" fontId="12" fillId="0" borderId="1" xfId="5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justify"/>
    </xf>
    <xf numFmtId="1" fontId="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9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6" fontId="16" fillId="0" borderId="1" xfId="0" applyNumberFormat="1" applyFont="1" applyBorder="1" applyAlignment="1">
      <alignment horizontal="left" vertical="center"/>
    </xf>
    <xf numFmtId="170" fontId="21" fillId="0" borderId="1" xfId="0" applyNumberFormat="1" applyFont="1" applyBorder="1" applyAlignment="1">
      <alignment horizontal="center" vertical="center"/>
    </xf>
    <xf numFmtId="9" fontId="0" fillId="0" borderId="0" xfId="0" applyNumberFormat="1"/>
    <xf numFmtId="169" fontId="0" fillId="0" borderId="0" xfId="0" applyNumberFormat="1"/>
    <xf numFmtId="3" fontId="0" fillId="0" borderId="0" xfId="0" applyNumberFormat="1"/>
    <xf numFmtId="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/>
    <xf numFmtId="0" fontId="6" fillId="0" borderId="3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vertical="center" wrapText="1"/>
    </xf>
    <xf numFmtId="9" fontId="11" fillId="0" borderId="4" xfId="5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right" wrapText="1"/>
    </xf>
    <xf numFmtId="167" fontId="0" fillId="0" borderId="0" xfId="0" applyNumberFormat="1"/>
    <xf numFmtId="0" fontId="5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9" fontId="14" fillId="0" borderId="4" xfId="5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0" xfId="1" applyNumberFormat="1" applyFont="1"/>
    <xf numFmtId="167" fontId="0" fillId="0" borderId="0" xfId="1" applyNumberFormat="1" applyFont="1"/>
    <xf numFmtId="43" fontId="0" fillId="0" borderId="0" xfId="0" applyNumberFormat="1"/>
    <xf numFmtId="0" fontId="43" fillId="3" borderId="2" xfId="0" applyFont="1" applyFill="1" applyBorder="1" applyAlignment="1"/>
    <xf numFmtId="0" fontId="43" fillId="3" borderId="2" xfId="0" applyFont="1" applyFill="1" applyBorder="1" applyAlignment="1">
      <alignment horizontal="center"/>
    </xf>
    <xf numFmtId="0" fontId="43" fillId="3" borderId="3" xfId="0" applyFont="1" applyFill="1" applyBorder="1" applyAlignment="1"/>
    <xf numFmtId="0" fontId="43" fillId="3" borderId="3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6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9" fontId="6" fillId="0" borderId="1" xfId="5" applyNumberFormat="1" applyFont="1" applyFill="1" applyBorder="1" applyAlignment="1">
      <alignment horizontal="center" vertical="center" wrapText="1"/>
    </xf>
    <xf numFmtId="0" fontId="25" fillId="11" borderId="36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60" xfId="0" applyFont="1" applyBorder="1" applyAlignment="1">
      <alignment vertical="center"/>
    </xf>
    <xf numFmtId="0" fontId="25" fillId="0" borderId="61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9" fontId="45" fillId="0" borderId="1" xfId="0" applyNumberFormat="1" applyFont="1" applyFill="1" applyBorder="1" applyAlignment="1">
      <alignment horizontal="center" vertical="center" wrapText="1"/>
    </xf>
    <xf numFmtId="9" fontId="7" fillId="0" borderId="1" xfId="5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" fontId="25" fillId="0" borderId="62" xfId="3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9" fontId="6" fillId="13" borderId="1" xfId="5" applyNumberFormat="1" applyFont="1" applyFill="1" applyBorder="1" applyAlignment="1">
      <alignment horizontal="center" vertical="center" wrapText="1"/>
    </xf>
    <xf numFmtId="4" fontId="12" fillId="13" borderId="1" xfId="0" applyNumberFormat="1" applyFont="1" applyFill="1" applyBorder="1" applyAlignment="1">
      <alignment horizontal="center" vertical="center" wrapText="1"/>
    </xf>
    <xf numFmtId="9" fontId="11" fillId="13" borderId="1" xfId="5" applyFont="1" applyFill="1" applyBorder="1" applyAlignment="1">
      <alignment horizontal="center" vertical="center" wrapText="1"/>
    </xf>
    <xf numFmtId="3" fontId="29" fillId="13" borderId="1" xfId="0" applyNumberFormat="1" applyFont="1" applyFill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9" fontId="6" fillId="13" borderId="1" xfId="5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9" fontId="14" fillId="13" borderId="1" xfId="5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0" fillId="13" borderId="0" xfId="0" applyFill="1"/>
    <xf numFmtId="0" fontId="5" fillId="14" borderId="24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9" fontId="6" fillId="14" borderId="3" xfId="3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8" fillId="0" borderId="2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3" fontId="46" fillId="0" borderId="0" xfId="0" applyNumberFormat="1" applyFont="1"/>
    <xf numFmtId="10" fontId="0" fillId="0" borderId="1" xfId="3" applyNumberFormat="1" applyFont="1" applyBorder="1" applyAlignment="1">
      <alignment horizontal="center" vertical="center"/>
    </xf>
    <xf numFmtId="9" fontId="6" fillId="15" borderId="1" xfId="5" applyNumberFormat="1" applyFont="1" applyFill="1" applyBorder="1" applyAlignment="1">
      <alignment horizontal="center" vertical="center" wrapText="1"/>
    </xf>
    <xf numFmtId="10" fontId="11" fillId="0" borderId="1" xfId="5" applyNumberFormat="1" applyFont="1" applyFill="1" applyBorder="1" applyAlignment="1">
      <alignment horizontal="center" vertical="center" wrapText="1"/>
    </xf>
    <xf numFmtId="10" fontId="6" fillId="0" borderId="1" xfId="5" applyNumberFormat="1" applyFont="1" applyFill="1" applyBorder="1" applyAlignment="1">
      <alignment horizontal="center" vertical="center" wrapText="1"/>
    </xf>
    <xf numFmtId="173" fontId="6" fillId="0" borderId="1" xfId="3" applyNumberFormat="1" applyFont="1" applyFill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13" fillId="13" borderId="1" xfId="0" applyNumberFormat="1" applyFont="1" applyFill="1" applyBorder="1" applyAlignment="1">
      <alignment horizontal="center" vertical="center" wrapText="1"/>
    </xf>
    <xf numFmtId="173" fontId="6" fillId="13" borderId="1" xfId="3" applyNumberFormat="1" applyFont="1" applyFill="1" applyBorder="1" applyAlignment="1">
      <alignment horizontal="center" vertical="center" wrapText="1"/>
    </xf>
    <xf numFmtId="10" fontId="6" fillId="13" borderId="1" xfId="3" applyNumberFormat="1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 wrapText="1"/>
    </xf>
    <xf numFmtId="9" fontId="6" fillId="14" borderId="3" xfId="3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3" fontId="29" fillId="13" borderId="2" xfId="0" applyNumberFormat="1" applyFont="1" applyFill="1" applyBorder="1" applyAlignment="1">
      <alignment horizontal="center" vertical="center" wrapText="1"/>
    </xf>
    <xf numFmtId="3" fontId="29" fillId="13" borderId="3" xfId="0" applyNumberFormat="1" applyFont="1" applyFill="1" applyBorder="1" applyAlignment="1">
      <alignment horizontal="center" vertical="center" wrapText="1"/>
    </xf>
    <xf numFmtId="3" fontId="29" fillId="13" borderId="4" xfId="0" applyNumberFormat="1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9" fontId="0" fillId="10" borderId="1" xfId="0" applyNumberFormat="1" applyFill="1" applyBorder="1" applyAlignment="1">
      <alignment horizontal="center" vertical="center"/>
    </xf>
    <xf numFmtId="10" fontId="0" fillId="16" borderId="1" xfId="3" applyNumberFormat="1" applyFont="1" applyFill="1" applyBorder="1" applyAlignment="1">
      <alignment horizontal="center" vertical="center"/>
    </xf>
    <xf numFmtId="0" fontId="25" fillId="17" borderId="6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/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9" fontId="11" fillId="13" borderId="2" xfId="5" applyFont="1" applyFill="1" applyBorder="1" applyAlignment="1">
      <alignment horizontal="center" vertical="center" wrapText="1"/>
    </xf>
    <xf numFmtId="9" fontId="11" fillId="13" borderId="3" xfId="5" applyFont="1" applyFill="1" applyBorder="1" applyAlignment="1">
      <alignment horizontal="center" vertical="center" wrapText="1"/>
    </xf>
    <xf numFmtId="9" fontId="11" fillId="13" borderId="4" xfId="5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 vertical="center" textRotation="90"/>
    </xf>
    <xf numFmtId="0" fontId="31" fillId="0" borderId="3" xfId="0" applyFont="1" applyBorder="1" applyAlignment="1">
      <alignment horizontal="center" vertical="center" textRotation="90"/>
    </xf>
    <xf numFmtId="0" fontId="31" fillId="0" borderId="4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 wrapText="1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/>
    </xf>
    <xf numFmtId="0" fontId="3" fillId="12" borderId="30" xfId="0" applyFont="1" applyFill="1" applyBorder="1" applyAlignment="1">
      <alignment horizontal="center"/>
    </xf>
    <xf numFmtId="0" fontId="3" fillId="12" borderId="31" xfId="0" applyFont="1" applyFill="1" applyBorder="1" applyAlignment="1">
      <alignment horizontal="center"/>
    </xf>
    <xf numFmtId="0" fontId="3" fillId="12" borderId="29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24" xfId="0" applyFont="1" applyFill="1" applyBorder="1" applyAlignment="1">
      <alignment horizontal="center" wrapText="1"/>
    </xf>
    <xf numFmtId="0" fontId="3" fillId="12" borderId="14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32" fillId="0" borderId="4" xfId="0" applyFont="1" applyBorder="1" applyAlignment="1">
      <alignment horizontal="center" vertical="center" textRotation="90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6" fontId="24" fillId="0" borderId="2" xfId="0" applyNumberFormat="1" applyFont="1" applyBorder="1" applyAlignment="1">
      <alignment horizontal="center" vertical="center"/>
    </xf>
    <xf numFmtId="6" fontId="24" fillId="0" borderId="4" xfId="0" applyNumberFormat="1" applyFont="1" applyBorder="1" applyAlignment="1">
      <alignment horizontal="center" vertical="center"/>
    </xf>
    <xf numFmtId="9" fontId="2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textRotation="90"/>
    </xf>
    <xf numFmtId="0" fontId="33" fillId="0" borderId="3" xfId="0" applyFont="1" applyBorder="1" applyAlignment="1">
      <alignment horizontal="center" vertical="center" textRotation="90"/>
    </xf>
    <xf numFmtId="0" fontId="33" fillId="0" borderId="4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9" fontId="30" fillId="0" borderId="1" xfId="0" applyNumberFormat="1" applyFont="1" applyBorder="1"/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9" fontId="26" fillId="0" borderId="1" xfId="0" applyNumberFormat="1" applyFont="1" applyBorder="1"/>
    <xf numFmtId="0" fontId="25" fillId="0" borderId="29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48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wrapText="1"/>
    </xf>
    <xf numFmtId="173" fontId="6" fillId="0" borderId="2" xfId="3" applyNumberFormat="1" applyFont="1" applyFill="1" applyBorder="1" applyAlignment="1">
      <alignment horizontal="center" vertical="center" wrapText="1"/>
    </xf>
    <xf numFmtId="173" fontId="6" fillId="0" borderId="3" xfId="3" applyNumberFormat="1" applyFont="1" applyFill="1" applyBorder="1" applyAlignment="1">
      <alignment horizontal="center" vertical="center" wrapText="1"/>
    </xf>
    <xf numFmtId="173" fontId="6" fillId="0" borderId="4" xfId="3" applyNumberFormat="1" applyFont="1" applyFill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0" fontId="6" fillId="0" borderId="3" xfId="3" applyNumberFormat="1" applyFont="1" applyFill="1" applyBorder="1" applyAlignment="1">
      <alignment horizontal="center" vertical="center" wrapText="1"/>
    </xf>
    <xf numFmtId="10" fontId="6" fillId="0" borderId="4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9" fontId="11" fillId="0" borderId="2" xfId="5" applyFont="1" applyFill="1" applyBorder="1" applyAlignment="1">
      <alignment horizontal="center" vertical="center" wrapText="1"/>
    </xf>
    <xf numFmtId="9" fontId="11" fillId="0" borderId="3" xfId="5" applyFont="1" applyFill="1" applyBorder="1" applyAlignment="1">
      <alignment horizontal="center" vertical="center" wrapText="1"/>
    </xf>
    <xf numFmtId="9" fontId="11" fillId="0" borderId="4" xfId="5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28" fillId="0" borderId="4" xfId="0" applyNumberFormat="1" applyFont="1" applyFill="1" applyBorder="1" applyAlignment="1">
      <alignment horizontal="center" vertical="center" wrapText="1"/>
    </xf>
    <xf numFmtId="9" fontId="6" fillId="0" borderId="2" xfId="5" applyFont="1" applyFill="1" applyBorder="1" applyAlignment="1">
      <alignment horizontal="center" vertical="center" wrapText="1"/>
    </xf>
    <xf numFmtId="9" fontId="6" fillId="0" borderId="3" xfId="5" applyFont="1" applyFill="1" applyBorder="1" applyAlignment="1">
      <alignment horizontal="center" vertical="center" wrapText="1"/>
    </xf>
    <xf numFmtId="9" fontId="6" fillId="0" borderId="4" xfId="5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10" fontId="6" fillId="0" borderId="2" xfId="5" applyNumberFormat="1" applyFont="1" applyFill="1" applyBorder="1" applyAlignment="1">
      <alignment horizontal="center" vertical="center" wrapText="1"/>
    </xf>
    <xf numFmtId="10" fontId="6" fillId="0" borderId="3" xfId="5" applyNumberFormat="1" applyFont="1" applyFill="1" applyBorder="1" applyAlignment="1">
      <alignment horizontal="center" vertical="center" wrapText="1"/>
    </xf>
    <xf numFmtId="10" fontId="6" fillId="0" borderId="4" xfId="5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72" fontId="6" fillId="0" borderId="2" xfId="5" applyNumberFormat="1" applyFont="1" applyFill="1" applyBorder="1" applyAlignment="1">
      <alignment horizontal="center" vertical="center" wrapText="1"/>
    </xf>
    <xf numFmtId="172" fontId="6" fillId="0" borderId="3" xfId="5" applyNumberFormat="1" applyFont="1" applyFill="1" applyBorder="1" applyAlignment="1">
      <alignment horizontal="center" vertical="center" wrapText="1"/>
    </xf>
    <xf numFmtId="172" fontId="6" fillId="0" borderId="4" xfId="5" applyNumberFormat="1" applyFont="1" applyFill="1" applyBorder="1" applyAlignment="1">
      <alignment horizontal="center" vertical="center" wrapText="1"/>
    </xf>
    <xf numFmtId="0" fontId="25" fillId="13" borderId="65" xfId="0" applyFont="1" applyFill="1" applyBorder="1" applyAlignment="1">
      <alignment horizontal="center" vertical="center" wrapText="1"/>
    </xf>
    <xf numFmtId="0" fontId="25" fillId="13" borderId="61" xfId="0" applyFont="1" applyFill="1" applyBorder="1" applyAlignment="1">
      <alignment horizontal="center" vertical="center" wrapText="1"/>
    </xf>
    <xf numFmtId="0" fontId="25" fillId="13" borderId="6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9" fontId="6" fillId="0" borderId="2" xfId="3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9" fontId="6" fillId="0" borderId="4" xfId="3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3" fontId="47" fillId="0" borderId="37" xfId="0" applyNumberFormat="1" applyFont="1" applyBorder="1" applyAlignment="1">
      <alignment horizontal="center"/>
    </xf>
    <xf numFmtId="3" fontId="47" fillId="0" borderId="34" xfId="0" applyNumberFormat="1" applyFont="1" applyBorder="1" applyAlignment="1">
      <alignment horizontal="center"/>
    </xf>
    <xf numFmtId="0" fontId="25" fillId="0" borderId="6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3" fontId="29" fillId="13" borderId="2" xfId="0" applyNumberFormat="1" applyFont="1" applyFill="1" applyBorder="1" applyAlignment="1">
      <alignment horizontal="center" vertical="center" wrapText="1"/>
    </xf>
    <xf numFmtId="3" fontId="29" fillId="13" borderId="3" xfId="0" applyNumberFormat="1" applyFont="1" applyFill="1" applyBorder="1" applyAlignment="1">
      <alignment horizontal="center" vertical="center" wrapText="1"/>
    </xf>
    <xf numFmtId="3" fontId="29" fillId="13" borderId="4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/>
    </xf>
    <xf numFmtId="0" fontId="25" fillId="13" borderId="61" xfId="0" applyFont="1" applyFill="1" applyBorder="1" applyAlignment="1">
      <alignment horizontal="center" vertical="center"/>
    </xf>
    <xf numFmtId="0" fontId="25" fillId="13" borderId="63" xfId="0" applyFont="1" applyFill="1" applyBorder="1" applyAlignment="1">
      <alignment horizontal="center" vertical="center"/>
    </xf>
    <xf numFmtId="3" fontId="28" fillId="13" borderId="2" xfId="0" applyNumberFormat="1" applyFont="1" applyFill="1" applyBorder="1" applyAlignment="1">
      <alignment horizontal="center" vertical="center" wrapText="1"/>
    </xf>
    <xf numFmtId="3" fontId="28" fillId="13" borderId="3" xfId="0" applyNumberFormat="1" applyFont="1" applyFill="1" applyBorder="1" applyAlignment="1">
      <alignment horizontal="center" vertical="center" wrapText="1"/>
    </xf>
    <xf numFmtId="3" fontId="28" fillId="13" borderId="4" xfId="0" applyNumberFormat="1" applyFont="1" applyFill="1" applyBorder="1" applyAlignment="1">
      <alignment horizontal="center" vertical="center" wrapText="1"/>
    </xf>
    <xf numFmtId="9" fontId="6" fillId="13" borderId="2" xfId="5" applyFont="1" applyFill="1" applyBorder="1" applyAlignment="1">
      <alignment horizontal="center" vertical="center" wrapText="1"/>
    </xf>
    <xf numFmtId="9" fontId="6" fillId="13" borderId="3" xfId="5" applyFont="1" applyFill="1" applyBorder="1" applyAlignment="1">
      <alignment horizontal="center" vertical="center" wrapText="1"/>
    </xf>
    <xf numFmtId="9" fontId="6" fillId="13" borderId="4" xfId="5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48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11" borderId="65" xfId="0" applyFont="1" applyFill="1" applyBorder="1" applyAlignment="1">
      <alignment horizontal="center" vertical="center" wrapText="1"/>
    </xf>
    <xf numFmtId="0" fontId="25" fillId="11" borderId="63" xfId="0" applyFont="1" applyFill="1" applyBorder="1" applyAlignment="1">
      <alignment horizontal="center" vertical="center" wrapText="1"/>
    </xf>
    <xf numFmtId="0" fontId="25" fillId="11" borderId="60" xfId="0" applyFont="1" applyFill="1" applyBorder="1" applyAlignment="1">
      <alignment horizontal="center" vertical="center" wrapText="1"/>
    </xf>
    <xf numFmtId="0" fontId="25" fillId="11" borderId="68" xfId="0" applyFont="1" applyFill="1" applyBorder="1" applyAlignment="1">
      <alignment horizontal="center" vertical="center" wrapText="1"/>
    </xf>
    <xf numFmtId="0" fontId="25" fillId="11" borderId="61" xfId="0" applyFont="1" applyFill="1" applyBorder="1" applyAlignment="1">
      <alignment horizontal="center" vertical="center" wrapText="1"/>
    </xf>
    <xf numFmtId="0" fontId="25" fillId="11" borderId="65" xfId="0" applyFont="1" applyFill="1" applyBorder="1" applyAlignment="1">
      <alignment horizontal="center" vertical="center"/>
    </xf>
    <xf numFmtId="0" fontId="25" fillId="11" borderId="61" xfId="0" applyFont="1" applyFill="1" applyBorder="1" applyAlignment="1">
      <alignment horizontal="center" vertical="center"/>
    </xf>
    <xf numFmtId="0" fontId="25" fillId="11" borderId="63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5" xfId="0" applyFont="1" applyBorder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25" fillId="0" borderId="65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9" fontId="40" fillId="0" borderId="2" xfId="5" applyFont="1" applyFill="1" applyBorder="1" applyAlignment="1">
      <alignment horizontal="center" vertical="center" wrapText="1"/>
    </xf>
    <xf numFmtId="9" fontId="40" fillId="0" borderId="4" xfId="5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70" fontId="12" fillId="0" borderId="2" xfId="5" applyNumberFormat="1" applyFont="1" applyFill="1" applyBorder="1" applyAlignment="1">
      <alignment horizontal="center" vertical="center" wrapText="1"/>
    </xf>
    <xf numFmtId="170" fontId="12" fillId="0" borderId="4" xfId="5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 wrapText="1"/>
    </xf>
    <xf numFmtId="164" fontId="39" fillId="0" borderId="4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9" fontId="12" fillId="0" borderId="2" xfId="5" applyFont="1" applyFill="1" applyBorder="1" applyAlignment="1">
      <alignment horizontal="center" vertical="center" wrapText="1"/>
    </xf>
    <xf numFmtId="9" fontId="12" fillId="0" borderId="4" xfId="5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7" fontId="5" fillId="0" borderId="32" xfId="1" applyNumberFormat="1" applyFont="1" applyFill="1" applyBorder="1" applyAlignment="1">
      <alignment horizontal="center" vertical="center" wrapText="1"/>
    </xf>
    <xf numFmtId="167" fontId="5" fillId="0" borderId="48" xfId="1" applyNumberFormat="1" applyFont="1" applyFill="1" applyBorder="1" applyAlignment="1">
      <alignment horizontal="center" vertical="center" wrapText="1"/>
    </xf>
    <xf numFmtId="167" fontId="5" fillId="0" borderId="31" xfId="1" applyNumberFormat="1" applyFont="1" applyFill="1" applyBorder="1" applyAlignment="1">
      <alignment horizontal="center" vertical="center" wrapText="1"/>
    </xf>
    <xf numFmtId="167" fontId="5" fillId="0" borderId="33" xfId="1" applyNumberFormat="1" applyFont="1" applyFill="1" applyBorder="1" applyAlignment="1">
      <alignment horizontal="center" vertical="center" wrapText="1"/>
    </xf>
    <xf numFmtId="167" fontId="5" fillId="0" borderId="35" xfId="1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justify"/>
    </xf>
    <xf numFmtId="0" fontId="43" fillId="3" borderId="3" xfId="0" applyFont="1" applyFill="1" applyBorder="1" applyAlignment="1">
      <alignment horizontal="center" vertical="justify"/>
    </xf>
    <xf numFmtId="0" fontId="43" fillId="3" borderId="4" xfId="0" applyFont="1" applyFill="1" applyBorder="1" applyAlignment="1">
      <alignment horizontal="center" vertical="justify"/>
    </xf>
    <xf numFmtId="0" fontId="43" fillId="3" borderId="24" xfId="0" applyFont="1" applyFill="1" applyBorder="1" applyAlignment="1">
      <alignment horizontal="center"/>
    </xf>
    <xf numFmtId="0" fontId="43" fillId="3" borderId="25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justify" vertical="center"/>
    </xf>
    <xf numFmtId="0" fontId="43" fillId="3" borderId="3" xfId="0" applyFont="1" applyFill="1" applyBorder="1" applyAlignment="1">
      <alignment horizontal="justify" vertical="center"/>
    </xf>
    <xf numFmtId="0" fontId="43" fillId="3" borderId="4" xfId="0" applyFont="1" applyFill="1" applyBorder="1" applyAlignment="1">
      <alignment horizontal="justify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wrapText="1"/>
    </xf>
    <xf numFmtId="0" fontId="43" fillId="3" borderId="25" xfId="0" applyFont="1" applyFill="1" applyBorder="1" applyAlignment="1">
      <alignment horizontal="center" wrapText="1"/>
    </xf>
    <xf numFmtId="0" fontId="43" fillId="3" borderId="14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Porcentaje" xfId="3" builtinId="5"/>
    <cellStyle name="Porcentual 2" xfId="4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104776</xdr:rowOff>
    </xdr:from>
    <xdr:to>
      <xdr:col>0</xdr:col>
      <xdr:colOff>704851</xdr:colOff>
      <xdr:row>7</xdr:row>
      <xdr:rowOff>114300</xdr:rowOff>
    </xdr:to>
    <xdr:cxnSp macro="">
      <xdr:nvCxnSpPr>
        <xdr:cNvPr id="15" name="14 Conector recto"/>
        <xdr:cNvCxnSpPr/>
      </xdr:nvCxnSpPr>
      <xdr:spPr>
        <a:xfrm flipH="1">
          <a:off x="266700" y="1438276"/>
          <a:ext cx="438151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7</xdr:row>
      <xdr:rowOff>104775</xdr:rowOff>
    </xdr:from>
    <xdr:to>
      <xdr:col>0</xdr:col>
      <xdr:colOff>276225</xdr:colOff>
      <xdr:row>15</xdr:row>
      <xdr:rowOff>114300</xdr:rowOff>
    </xdr:to>
    <xdr:cxnSp macro="">
      <xdr:nvCxnSpPr>
        <xdr:cNvPr id="17" name="16 Conector recto"/>
        <xdr:cNvCxnSpPr/>
      </xdr:nvCxnSpPr>
      <xdr:spPr>
        <a:xfrm>
          <a:off x="276225" y="1438275"/>
          <a:ext cx="0" cy="1343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15</xdr:row>
      <xdr:rowOff>104775</xdr:rowOff>
    </xdr:from>
    <xdr:to>
      <xdr:col>0</xdr:col>
      <xdr:colOff>733425</xdr:colOff>
      <xdr:row>15</xdr:row>
      <xdr:rowOff>114300</xdr:rowOff>
    </xdr:to>
    <xdr:cxnSp macro="">
      <xdr:nvCxnSpPr>
        <xdr:cNvPr id="19" name="18 Conector recto de flecha"/>
        <xdr:cNvCxnSpPr/>
      </xdr:nvCxnSpPr>
      <xdr:spPr>
        <a:xfrm flipV="1">
          <a:off x="295275" y="2771775"/>
          <a:ext cx="4381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opLeftCell="A7" workbookViewId="0">
      <selection activeCell="C4" sqref="C4:C10"/>
    </sheetView>
  </sheetViews>
  <sheetFormatPr baseColWidth="10" defaultRowHeight="15" x14ac:dyDescent="0.25"/>
  <cols>
    <col min="1" max="1" width="17.5703125" bestFit="1" customWidth="1"/>
    <col min="2" max="2" width="11.42578125" bestFit="1" customWidth="1"/>
    <col min="3" max="3" width="36.140625" bestFit="1" customWidth="1"/>
    <col min="4" max="4" width="18.140625" bestFit="1" customWidth="1"/>
    <col min="5" max="5" width="24.140625" bestFit="1" customWidth="1"/>
    <col min="6" max="6" width="16" bestFit="1" customWidth="1"/>
    <col min="7" max="7" width="15.7109375" bestFit="1" customWidth="1"/>
    <col min="8" max="8" width="8.140625" customWidth="1"/>
    <col min="9" max="9" width="15.28515625" bestFit="1" customWidth="1"/>
    <col min="10" max="10" width="15.42578125" bestFit="1" customWidth="1"/>
    <col min="11" max="11" width="8.140625" bestFit="1" customWidth="1"/>
    <col min="12" max="12" width="4.5703125" bestFit="1" customWidth="1"/>
    <col min="13" max="13" width="8.140625" bestFit="1" customWidth="1"/>
    <col min="14" max="14" width="4.5703125" bestFit="1" customWidth="1"/>
    <col min="15" max="15" width="9.140625" bestFit="1" customWidth="1"/>
    <col min="16" max="16" width="5.5703125" bestFit="1" customWidth="1"/>
    <col min="17" max="17" width="9.140625" bestFit="1" customWidth="1"/>
    <col min="18" max="18" width="5.5703125" bestFit="1" customWidth="1"/>
    <col min="19" max="19" width="19.85546875" customWidth="1"/>
    <col min="20" max="20" width="16.28515625" bestFit="1" customWidth="1"/>
    <col min="21" max="21" width="11.28515625" bestFit="1" customWidth="1"/>
    <col min="22" max="22" width="4.5703125" bestFit="1" customWidth="1"/>
    <col min="23" max="23" width="11.28515625" bestFit="1" customWidth="1"/>
    <col min="24" max="24" width="4.5703125" bestFit="1" customWidth="1"/>
    <col min="25" max="25" width="11.28515625" bestFit="1" customWidth="1"/>
    <col min="26" max="26" width="5.5703125" bestFit="1" customWidth="1"/>
    <col min="27" max="27" width="11.28515625" customWidth="1"/>
    <col min="28" max="28" width="5.5703125" bestFit="1" customWidth="1"/>
    <col min="30" max="30" width="4.5703125" bestFit="1" customWidth="1"/>
    <col min="31" max="31" width="10.28515625" bestFit="1" customWidth="1"/>
    <col min="32" max="32" width="4.5703125" bestFit="1" customWidth="1"/>
    <col min="33" max="33" width="9" bestFit="1" customWidth="1"/>
    <col min="34" max="34" width="2" bestFit="1" customWidth="1"/>
    <col min="35" max="35" width="6.140625" customWidth="1"/>
    <col min="36" max="36" width="14.42578125" bestFit="1" customWidth="1"/>
    <col min="37" max="37" width="5.5703125" bestFit="1" customWidth="1"/>
    <col min="38" max="38" width="2" bestFit="1" customWidth="1"/>
    <col min="39" max="39" width="2.28515625" bestFit="1" customWidth="1"/>
    <col min="40" max="40" width="8" bestFit="1" customWidth="1"/>
    <col min="41" max="41" width="15.85546875" style="1" bestFit="1" customWidth="1"/>
    <col min="42" max="42" width="15.7109375" style="1" bestFit="1" customWidth="1"/>
    <col min="43" max="43" width="9.28515625" customWidth="1"/>
  </cols>
  <sheetData>
    <row r="1" spans="1:43" ht="24" customHeight="1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6</v>
      </c>
      <c r="H1" s="661" t="s">
        <v>7</v>
      </c>
      <c r="I1" s="661" t="s">
        <v>8</v>
      </c>
      <c r="J1" s="662" t="s">
        <v>9</v>
      </c>
      <c r="K1" s="15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6"/>
      <c r="AO1" s="654" t="s">
        <v>15</v>
      </c>
      <c r="AP1" s="655"/>
      <c r="AQ1" s="656"/>
    </row>
    <row r="2" spans="1:43" x14ac:dyDescent="0.25">
      <c r="A2" s="648"/>
      <c r="B2" s="649"/>
      <c r="C2" s="649"/>
      <c r="D2" s="649"/>
      <c r="E2" s="649"/>
      <c r="F2" s="649"/>
      <c r="G2" s="649"/>
      <c r="H2" s="649"/>
      <c r="I2" s="649"/>
      <c r="J2" s="653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53"/>
      <c r="AO2" s="657"/>
      <c r="AP2" s="658"/>
      <c r="AQ2" s="659"/>
    </row>
    <row r="3" spans="1:43" x14ac:dyDescent="0.25">
      <c r="A3" s="648"/>
      <c r="B3" s="649"/>
      <c r="C3" s="649"/>
      <c r="D3" s="649"/>
      <c r="E3" s="649"/>
      <c r="F3" s="649"/>
      <c r="G3" s="649"/>
      <c r="H3" s="649"/>
      <c r="I3" s="649"/>
      <c r="J3" s="653"/>
      <c r="K3" s="9" t="s">
        <v>21</v>
      </c>
      <c r="L3" s="4" t="s">
        <v>22</v>
      </c>
      <c r="M3" s="4" t="s">
        <v>21</v>
      </c>
      <c r="N3" s="4" t="s">
        <v>22</v>
      </c>
      <c r="O3" s="4" t="s">
        <v>21</v>
      </c>
      <c r="P3" s="4" t="s">
        <v>22</v>
      </c>
      <c r="Q3" s="4" t="s">
        <v>21</v>
      </c>
      <c r="R3" s="4" t="s">
        <v>22</v>
      </c>
      <c r="S3" s="669"/>
      <c r="T3" s="667"/>
      <c r="U3" s="9" t="s">
        <v>23</v>
      </c>
      <c r="V3" s="4" t="s">
        <v>22</v>
      </c>
      <c r="W3" s="4" t="s">
        <v>23</v>
      </c>
      <c r="X3" s="4" t="s">
        <v>22</v>
      </c>
      <c r="Y3" s="4" t="s">
        <v>23</v>
      </c>
      <c r="Z3" s="4" t="s">
        <v>22</v>
      </c>
      <c r="AA3" s="4" t="s">
        <v>23</v>
      </c>
      <c r="AB3" s="14" t="s">
        <v>22</v>
      </c>
      <c r="AC3" s="9" t="s">
        <v>23</v>
      </c>
      <c r="AD3" s="4" t="s">
        <v>22</v>
      </c>
      <c r="AE3" s="4" t="s">
        <v>23</v>
      </c>
      <c r="AF3" s="4" t="s">
        <v>22</v>
      </c>
      <c r="AG3" s="4" t="s">
        <v>24</v>
      </c>
      <c r="AH3" s="4" t="s">
        <v>23</v>
      </c>
      <c r="AI3" s="4" t="s">
        <v>22</v>
      </c>
      <c r="AJ3" s="30" t="s">
        <v>23</v>
      </c>
      <c r="AK3" s="30" t="s">
        <v>22</v>
      </c>
      <c r="AL3" s="5" t="s">
        <v>23</v>
      </c>
      <c r="AM3" s="4" t="s">
        <v>22</v>
      </c>
      <c r="AN3" s="10" t="s">
        <v>25</v>
      </c>
      <c r="AO3" s="49" t="s">
        <v>109</v>
      </c>
      <c r="AP3" s="54" t="s">
        <v>110</v>
      </c>
      <c r="AQ3" s="49" t="s">
        <v>111</v>
      </c>
    </row>
    <row r="4" spans="1:43" ht="84" x14ac:dyDescent="0.25">
      <c r="A4" s="663" t="s">
        <v>26</v>
      </c>
      <c r="B4" s="663" t="s">
        <v>27</v>
      </c>
      <c r="C4" s="663" t="s">
        <v>28</v>
      </c>
      <c r="D4" s="663" t="s">
        <v>29</v>
      </c>
      <c r="E4" s="663" t="s">
        <v>30</v>
      </c>
      <c r="F4" s="2" t="s">
        <v>31</v>
      </c>
      <c r="G4" s="6"/>
      <c r="H4" s="6">
        <v>0</v>
      </c>
      <c r="I4" s="6" t="s">
        <v>32</v>
      </c>
      <c r="J4" s="18" t="s">
        <v>33</v>
      </c>
      <c r="K4" s="19">
        <v>80</v>
      </c>
      <c r="L4" s="20">
        <v>0.4</v>
      </c>
      <c r="M4" s="21">
        <v>80</v>
      </c>
      <c r="N4" s="20">
        <v>0.4</v>
      </c>
      <c r="O4" s="21">
        <v>140</v>
      </c>
      <c r="P4" s="20">
        <v>0.7</v>
      </c>
      <c r="Q4" s="21">
        <v>200</v>
      </c>
      <c r="R4" s="20">
        <v>1</v>
      </c>
      <c r="S4" s="34">
        <v>200</v>
      </c>
      <c r="T4" s="16">
        <v>340000</v>
      </c>
      <c r="U4" s="11">
        <v>40000</v>
      </c>
      <c r="V4" s="20">
        <v>0.11764705882352941</v>
      </c>
      <c r="W4" s="7">
        <v>40000</v>
      </c>
      <c r="X4" s="20">
        <v>0.11764705882352941</v>
      </c>
      <c r="Y4" s="7">
        <v>190000</v>
      </c>
      <c r="Z4" s="20">
        <v>0.55882352941176472</v>
      </c>
      <c r="AA4" s="7">
        <v>340000</v>
      </c>
      <c r="AB4" s="22">
        <v>1</v>
      </c>
      <c r="AC4" s="11">
        <v>190000</v>
      </c>
      <c r="AD4" s="20">
        <v>0.55882352941176472</v>
      </c>
      <c r="AE4" s="7">
        <v>80000</v>
      </c>
      <c r="AF4" s="20">
        <v>0.23529411764705882</v>
      </c>
      <c r="AG4" s="6" t="s">
        <v>34</v>
      </c>
      <c r="AH4" s="6"/>
      <c r="AI4" s="6"/>
      <c r="AJ4" s="36">
        <v>70000</v>
      </c>
      <c r="AK4" s="31">
        <v>0.20588235294117646</v>
      </c>
      <c r="AL4" s="6"/>
      <c r="AM4" s="6"/>
      <c r="AN4" s="50"/>
      <c r="AO4" s="2" t="s">
        <v>35</v>
      </c>
      <c r="AP4" s="6"/>
      <c r="AQ4" s="2"/>
    </row>
    <row r="5" spans="1:43" ht="96" x14ac:dyDescent="0.25">
      <c r="A5" s="663"/>
      <c r="B5" s="663"/>
      <c r="C5" s="663"/>
      <c r="D5" s="663"/>
      <c r="E5" s="663"/>
      <c r="F5" s="2" t="s">
        <v>36</v>
      </c>
      <c r="G5" s="6"/>
      <c r="H5" s="6">
        <v>0</v>
      </c>
      <c r="I5" s="6" t="s">
        <v>37</v>
      </c>
      <c r="J5" s="18" t="s">
        <v>38</v>
      </c>
      <c r="K5" s="19">
        <v>630</v>
      </c>
      <c r="L5" s="20">
        <v>0.42</v>
      </c>
      <c r="M5" s="21">
        <v>900</v>
      </c>
      <c r="N5" s="20">
        <v>0.6</v>
      </c>
      <c r="O5" s="21">
        <v>1200</v>
      </c>
      <c r="P5" s="20">
        <v>0.8</v>
      </c>
      <c r="Q5" s="21">
        <v>1500</v>
      </c>
      <c r="R5" s="20">
        <v>1</v>
      </c>
      <c r="S5" s="34">
        <v>1500</v>
      </c>
      <c r="T5" s="16">
        <v>225000</v>
      </c>
      <c r="U5" s="11">
        <v>94500</v>
      </c>
      <c r="V5" s="20">
        <v>0.42</v>
      </c>
      <c r="W5" s="7">
        <v>135000</v>
      </c>
      <c r="X5" s="20">
        <v>0.6</v>
      </c>
      <c r="Y5" s="7">
        <v>180000</v>
      </c>
      <c r="Z5" s="20">
        <v>0.8</v>
      </c>
      <c r="AA5" s="7">
        <v>225000</v>
      </c>
      <c r="AB5" s="22">
        <v>1</v>
      </c>
      <c r="AC5" s="11">
        <v>100000</v>
      </c>
      <c r="AD5" s="20">
        <v>0.44444444444444442</v>
      </c>
      <c r="AE5" s="7"/>
      <c r="AF5" s="20">
        <v>0</v>
      </c>
      <c r="AG5" s="6"/>
      <c r="AH5" s="6"/>
      <c r="AI5" s="7"/>
      <c r="AJ5" s="36">
        <v>125000</v>
      </c>
      <c r="AK5" s="31">
        <v>0.55555555555555558</v>
      </c>
      <c r="AL5" s="6"/>
      <c r="AM5" s="6"/>
      <c r="AN5" s="50"/>
      <c r="AO5" s="2" t="s">
        <v>35</v>
      </c>
      <c r="AP5" s="6"/>
      <c r="AQ5" s="2"/>
    </row>
    <row r="6" spans="1:43" ht="96" x14ac:dyDescent="0.25">
      <c r="A6" s="663"/>
      <c r="B6" s="663"/>
      <c r="C6" s="663"/>
      <c r="D6" s="663"/>
      <c r="E6" s="663"/>
      <c r="F6" s="2" t="s">
        <v>39</v>
      </c>
      <c r="G6" s="6"/>
      <c r="H6" s="6">
        <v>0</v>
      </c>
      <c r="I6" s="6" t="s">
        <v>40</v>
      </c>
      <c r="J6" s="18" t="s">
        <v>41</v>
      </c>
      <c r="K6" s="19">
        <v>0</v>
      </c>
      <c r="L6" s="20">
        <v>0</v>
      </c>
      <c r="M6" s="21">
        <v>30</v>
      </c>
      <c r="N6" s="20">
        <v>0.3</v>
      </c>
      <c r="O6" s="21">
        <v>60</v>
      </c>
      <c r="P6" s="20">
        <v>0.6</v>
      </c>
      <c r="Q6" s="21">
        <v>100</v>
      </c>
      <c r="R6" s="20">
        <v>1</v>
      </c>
      <c r="S6" s="34">
        <v>100</v>
      </c>
      <c r="T6" s="16">
        <v>150000</v>
      </c>
      <c r="U6" s="11">
        <v>0</v>
      </c>
      <c r="V6" s="20">
        <v>0</v>
      </c>
      <c r="W6" s="7">
        <v>45000</v>
      </c>
      <c r="X6" s="20">
        <v>0.3</v>
      </c>
      <c r="Y6" s="7">
        <v>90000</v>
      </c>
      <c r="Z6" s="20">
        <v>0.6</v>
      </c>
      <c r="AA6" s="7">
        <v>150000</v>
      </c>
      <c r="AB6" s="22">
        <v>1</v>
      </c>
      <c r="AC6" s="11">
        <v>70000</v>
      </c>
      <c r="AD6" s="20">
        <v>0.46666666666666667</v>
      </c>
      <c r="AE6" s="7">
        <v>80000</v>
      </c>
      <c r="AF6" s="20">
        <v>0.53333333333333333</v>
      </c>
      <c r="AG6" s="6" t="s">
        <v>34</v>
      </c>
      <c r="AH6" s="6"/>
      <c r="AI6" s="6"/>
      <c r="AJ6" s="37"/>
      <c r="AK6" s="31">
        <v>0</v>
      </c>
      <c r="AL6" s="6"/>
      <c r="AM6" s="6"/>
      <c r="AN6" s="50"/>
      <c r="AO6" s="2" t="s">
        <v>42</v>
      </c>
      <c r="AP6" s="6"/>
      <c r="AQ6" s="2"/>
    </row>
    <row r="7" spans="1:43" ht="84" x14ac:dyDescent="0.25">
      <c r="A7" s="663"/>
      <c r="B7" s="663"/>
      <c r="C7" s="663"/>
      <c r="D7" s="663"/>
      <c r="E7" s="663" t="s">
        <v>43</v>
      </c>
      <c r="F7" s="2" t="s">
        <v>44</v>
      </c>
      <c r="G7" s="6"/>
      <c r="H7" s="6">
        <v>0</v>
      </c>
      <c r="I7" s="6" t="s">
        <v>45</v>
      </c>
      <c r="J7" s="18" t="s">
        <v>46</v>
      </c>
      <c r="K7" s="19">
        <v>0</v>
      </c>
      <c r="L7" s="20">
        <v>0</v>
      </c>
      <c r="M7" s="21">
        <v>30</v>
      </c>
      <c r="N7" s="20">
        <v>0.5</v>
      </c>
      <c r="O7" s="21">
        <v>60</v>
      </c>
      <c r="P7" s="20">
        <v>1</v>
      </c>
      <c r="Q7" s="21">
        <v>60</v>
      </c>
      <c r="R7" s="20">
        <v>1</v>
      </c>
      <c r="S7" s="34">
        <v>60</v>
      </c>
      <c r="T7" s="16">
        <v>150000</v>
      </c>
      <c r="U7" s="11">
        <v>0</v>
      </c>
      <c r="V7" s="20">
        <v>0</v>
      </c>
      <c r="W7" s="7">
        <v>75000</v>
      </c>
      <c r="X7" s="20">
        <v>0.5</v>
      </c>
      <c r="Y7" s="7">
        <v>150000</v>
      </c>
      <c r="Z7" s="20">
        <v>1</v>
      </c>
      <c r="AA7" s="7">
        <v>150000</v>
      </c>
      <c r="AB7" s="22">
        <v>1</v>
      </c>
      <c r="AC7" s="11">
        <v>70000</v>
      </c>
      <c r="AD7" s="20">
        <v>0.46666666666666667</v>
      </c>
      <c r="AE7" s="7">
        <v>80000</v>
      </c>
      <c r="AF7" s="20">
        <v>0.53333333333333333</v>
      </c>
      <c r="AG7" s="6" t="s">
        <v>34</v>
      </c>
      <c r="AH7" s="6"/>
      <c r="AI7" s="6"/>
      <c r="AJ7" s="36"/>
      <c r="AK7" s="31">
        <v>0</v>
      </c>
      <c r="AL7" s="6"/>
      <c r="AM7" s="6"/>
      <c r="AN7" s="50"/>
      <c r="AO7" s="2" t="s">
        <v>35</v>
      </c>
      <c r="AP7" s="6"/>
      <c r="AQ7" s="2"/>
    </row>
    <row r="8" spans="1:43" ht="96" x14ac:dyDescent="0.25">
      <c r="A8" s="663"/>
      <c r="B8" s="663"/>
      <c r="C8" s="663"/>
      <c r="D8" s="663"/>
      <c r="E8" s="663"/>
      <c r="F8" s="2" t="s">
        <v>47</v>
      </c>
      <c r="G8" s="6"/>
      <c r="H8" s="6">
        <v>0</v>
      </c>
      <c r="I8" s="6" t="s">
        <v>48</v>
      </c>
      <c r="J8" s="18" t="s">
        <v>49</v>
      </c>
      <c r="K8" s="19">
        <v>0</v>
      </c>
      <c r="L8" s="20">
        <v>0</v>
      </c>
      <c r="M8" s="21">
        <v>30</v>
      </c>
      <c r="N8" s="20">
        <v>0.3</v>
      </c>
      <c r="O8" s="21">
        <v>60</v>
      </c>
      <c r="P8" s="20">
        <v>0.6</v>
      </c>
      <c r="Q8" s="21">
        <v>100</v>
      </c>
      <c r="R8" s="20">
        <v>1</v>
      </c>
      <c r="S8" s="34">
        <v>100</v>
      </c>
      <c r="T8" s="16">
        <v>150000</v>
      </c>
      <c r="U8" s="11">
        <v>0</v>
      </c>
      <c r="V8" s="20">
        <v>0</v>
      </c>
      <c r="W8" s="7">
        <v>45000</v>
      </c>
      <c r="X8" s="20">
        <v>0.3</v>
      </c>
      <c r="Y8" s="7">
        <v>90000</v>
      </c>
      <c r="Z8" s="20">
        <v>0.6</v>
      </c>
      <c r="AA8" s="7">
        <v>150000</v>
      </c>
      <c r="AB8" s="22">
        <v>1</v>
      </c>
      <c r="AC8" s="11">
        <v>70000</v>
      </c>
      <c r="AD8" s="20">
        <v>0.46666666666666667</v>
      </c>
      <c r="AE8" s="7">
        <v>80000</v>
      </c>
      <c r="AF8" s="20">
        <v>0.53333333333333333</v>
      </c>
      <c r="AG8" s="6" t="s">
        <v>34</v>
      </c>
      <c r="AH8" s="6"/>
      <c r="AI8" s="6"/>
      <c r="AJ8" s="37"/>
      <c r="AK8" s="31">
        <v>0</v>
      </c>
      <c r="AL8" s="6"/>
      <c r="AM8" s="6"/>
      <c r="AN8" s="50"/>
      <c r="AO8" s="2" t="s">
        <v>35</v>
      </c>
      <c r="AP8" s="6"/>
      <c r="AQ8" s="2"/>
    </row>
    <row r="9" spans="1:43" ht="96" x14ac:dyDescent="0.25">
      <c r="A9" s="664"/>
      <c r="B9" s="664"/>
      <c r="C9" s="664"/>
      <c r="D9" s="664"/>
      <c r="E9" s="664" t="s">
        <v>50</v>
      </c>
      <c r="F9" s="47" t="s">
        <v>51</v>
      </c>
      <c r="G9" s="3"/>
      <c r="H9" s="3">
        <v>0</v>
      </c>
      <c r="I9" s="3" t="s">
        <v>52</v>
      </c>
      <c r="J9" s="39" t="s">
        <v>53</v>
      </c>
      <c r="K9" s="40">
        <v>80</v>
      </c>
      <c r="L9" s="20">
        <v>0.30769230769230771</v>
      </c>
      <c r="M9" s="42">
        <v>100</v>
      </c>
      <c r="N9" s="41">
        <v>0.38461538461538464</v>
      </c>
      <c r="O9" s="42">
        <v>200</v>
      </c>
      <c r="P9" s="41">
        <v>0.76923076923076927</v>
      </c>
      <c r="Q9" s="42">
        <v>260</v>
      </c>
      <c r="R9" s="41">
        <v>1</v>
      </c>
      <c r="S9" s="43">
        <v>260</v>
      </c>
      <c r="T9" s="16">
        <v>143000</v>
      </c>
      <c r="U9" s="44">
        <v>44000</v>
      </c>
      <c r="V9" s="20">
        <v>0.30769230769230771</v>
      </c>
      <c r="W9" s="44">
        <v>55000</v>
      </c>
      <c r="X9" s="20">
        <v>0.38461538461538464</v>
      </c>
      <c r="Y9" s="44">
        <v>110000</v>
      </c>
      <c r="Z9" s="20">
        <v>0.76923076923076927</v>
      </c>
      <c r="AA9" s="44">
        <v>143000</v>
      </c>
      <c r="AB9" s="22">
        <v>1</v>
      </c>
      <c r="AC9" s="44">
        <v>60000</v>
      </c>
      <c r="AD9" s="41">
        <v>0.41958041958041958</v>
      </c>
      <c r="AE9" s="45">
        <v>83000</v>
      </c>
      <c r="AF9" s="41">
        <v>0.58041958041958042</v>
      </c>
      <c r="AG9" s="3" t="s">
        <v>34</v>
      </c>
      <c r="AH9" s="3"/>
      <c r="AI9" s="3"/>
      <c r="AJ9" s="46"/>
      <c r="AK9" s="31">
        <v>0</v>
      </c>
      <c r="AL9" s="3"/>
      <c r="AM9" s="3"/>
      <c r="AN9" s="51"/>
      <c r="AO9" s="2" t="s">
        <v>35</v>
      </c>
      <c r="AP9" s="6"/>
      <c r="AQ9" s="2"/>
    </row>
    <row r="10" spans="1:43" ht="156.75" thickBot="1" x14ac:dyDescent="0.3">
      <c r="A10" s="665"/>
      <c r="B10" s="665"/>
      <c r="C10" s="665"/>
      <c r="D10" s="665"/>
      <c r="E10" s="672"/>
      <c r="F10" s="48" t="s">
        <v>54</v>
      </c>
      <c r="G10" s="23"/>
      <c r="H10" s="23">
        <v>0</v>
      </c>
      <c r="I10" s="23" t="s">
        <v>55</v>
      </c>
      <c r="J10" s="24" t="s">
        <v>56</v>
      </c>
      <c r="K10" s="25">
        <v>5000</v>
      </c>
      <c r="L10" s="26">
        <v>0.5</v>
      </c>
      <c r="M10" s="27">
        <v>7500</v>
      </c>
      <c r="N10" s="26">
        <v>0.75</v>
      </c>
      <c r="O10" s="27">
        <v>10000</v>
      </c>
      <c r="P10" s="26">
        <v>1</v>
      </c>
      <c r="Q10" s="27">
        <v>10000</v>
      </c>
      <c r="R10" s="26">
        <v>1</v>
      </c>
      <c r="S10" s="35">
        <v>10000</v>
      </c>
      <c r="T10" s="17">
        <v>280000</v>
      </c>
      <c r="U10" s="12">
        <v>140000</v>
      </c>
      <c r="V10" s="26">
        <v>0.5</v>
      </c>
      <c r="W10" s="13">
        <v>210000</v>
      </c>
      <c r="X10" s="26">
        <v>0.75</v>
      </c>
      <c r="Y10" s="13">
        <v>280000</v>
      </c>
      <c r="Z10" s="26">
        <v>1</v>
      </c>
      <c r="AA10" s="13">
        <v>280000</v>
      </c>
      <c r="AB10" s="28">
        <v>1</v>
      </c>
      <c r="AC10" s="12"/>
      <c r="AD10" s="26">
        <v>0</v>
      </c>
      <c r="AE10" s="13"/>
      <c r="AF10" s="26">
        <v>0</v>
      </c>
      <c r="AG10" s="23"/>
      <c r="AH10" s="23"/>
      <c r="AI10" s="23"/>
      <c r="AJ10" s="38">
        <v>280000</v>
      </c>
      <c r="AK10" s="32">
        <v>1</v>
      </c>
      <c r="AL10" s="23"/>
      <c r="AM10" s="23"/>
      <c r="AN10" s="52"/>
      <c r="AO10" s="2" t="s">
        <v>35</v>
      </c>
      <c r="AP10" s="6"/>
      <c r="AQ10" s="2"/>
    </row>
    <row r="11" spans="1:43" ht="48" x14ac:dyDescent="0.25">
      <c r="A11" s="645"/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7"/>
      <c r="S11" s="29" t="s">
        <v>57</v>
      </c>
      <c r="T11" s="8">
        <v>1438000</v>
      </c>
      <c r="U11" s="645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7"/>
      <c r="AH11" s="640" t="s">
        <v>58</v>
      </c>
      <c r="AI11" s="640"/>
      <c r="AJ11" s="33">
        <v>475000</v>
      </c>
      <c r="AK11" s="641"/>
      <c r="AL11" s="642"/>
      <c r="AM11" s="642"/>
      <c r="AN11" s="642"/>
      <c r="AO11" s="643"/>
      <c r="AP11" s="643"/>
      <c r="AQ11" s="644"/>
    </row>
  </sheetData>
  <mergeCells count="40">
    <mergeCell ref="T1:T3"/>
    <mergeCell ref="S1:S3"/>
    <mergeCell ref="AJ2:AK2"/>
    <mergeCell ref="D4:D10"/>
    <mergeCell ref="E7:E8"/>
    <mergeCell ref="E4:E6"/>
    <mergeCell ref="E9:E10"/>
    <mergeCell ref="AC1:AN1"/>
    <mergeCell ref="G1:G3"/>
    <mergeCell ref="H1:H3"/>
    <mergeCell ref="I1:I3"/>
    <mergeCell ref="J1:J3"/>
    <mergeCell ref="A11:R11"/>
    <mergeCell ref="F1:F3"/>
    <mergeCell ref="A1:A3"/>
    <mergeCell ref="B1:B3"/>
    <mergeCell ref="C1:C3"/>
    <mergeCell ref="D1:D3"/>
    <mergeCell ref="E1:E3"/>
    <mergeCell ref="A4:A10"/>
    <mergeCell ref="B4:B10"/>
    <mergeCell ref="C4:C10"/>
    <mergeCell ref="K2:L2"/>
    <mergeCell ref="M2:N2"/>
    <mergeCell ref="O2:P2"/>
    <mergeCell ref="Q2:R2"/>
    <mergeCell ref="L1:R1"/>
    <mergeCell ref="AH11:AI11"/>
    <mergeCell ref="AK11:AQ11"/>
    <mergeCell ref="U11:AG11"/>
    <mergeCell ref="AC2:AD2"/>
    <mergeCell ref="AE2:AG2"/>
    <mergeCell ref="AH2:AI2"/>
    <mergeCell ref="AL2:AN2"/>
    <mergeCell ref="AO1:AQ2"/>
    <mergeCell ref="U2:V2"/>
    <mergeCell ref="W2:X2"/>
    <mergeCell ref="Y2:Z2"/>
    <mergeCell ref="U1:AB1"/>
    <mergeCell ref="AA2:AB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workbookViewId="0">
      <selection activeCell="H1" sqref="H1:H3"/>
    </sheetView>
  </sheetViews>
  <sheetFormatPr baseColWidth="10" defaultRowHeight="15" x14ac:dyDescent="0.25"/>
  <cols>
    <col min="1" max="1" width="16" style="53" customWidth="1"/>
    <col min="2" max="2" width="18.7109375" style="53" customWidth="1"/>
    <col min="3" max="3" width="14.7109375" style="53" customWidth="1"/>
    <col min="4" max="4" width="37.42578125" style="53" customWidth="1"/>
    <col min="5" max="5" width="32" style="53" customWidth="1"/>
    <col min="6" max="6" width="19.140625" style="53" customWidth="1"/>
    <col min="7" max="7" width="21.7109375" style="53" customWidth="1"/>
    <col min="8" max="8" width="15.42578125" style="53" customWidth="1"/>
    <col min="9" max="9" width="13.5703125" style="53" customWidth="1"/>
    <col min="10" max="10" width="11.42578125" style="53" customWidth="1"/>
    <col min="11" max="40" width="11.42578125" style="53"/>
    <col min="41" max="41" width="12.85546875" style="53" customWidth="1"/>
    <col min="42" max="16384" width="11.42578125" style="53"/>
  </cols>
  <sheetData>
    <row r="1" spans="1:42" ht="15" customHeight="1" x14ac:dyDescent="0.25">
      <c r="A1" s="939" t="s">
        <v>0</v>
      </c>
      <c r="B1" s="800" t="s">
        <v>1</v>
      </c>
      <c r="C1" s="800" t="s">
        <v>2</v>
      </c>
      <c r="D1" s="800" t="s">
        <v>3</v>
      </c>
      <c r="E1" s="800" t="s">
        <v>4</v>
      </c>
      <c r="F1" s="800" t="s">
        <v>5</v>
      </c>
      <c r="G1" s="800" t="s">
        <v>7</v>
      </c>
      <c r="H1" s="800" t="s">
        <v>8</v>
      </c>
      <c r="I1" s="666" t="s">
        <v>9</v>
      </c>
      <c r="J1" s="351"/>
      <c r="K1" s="783" t="s">
        <v>10</v>
      </c>
      <c r="L1" s="945"/>
      <c r="M1" s="945"/>
      <c r="N1" s="945"/>
      <c r="O1" s="945"/>
      <c r="P1" s="945"/>
      <c r="Q1" s="947"/>
      <c r="R1" s="668" t="s">
        <v>11</v>
      </c>
      <c r="S1" s="666" t="s">
        <v>12</v>
      </c>
      <c r="T1" s="944" t="s">
        <v>13</v>
      </c>
      <c r="U1" s="945"/>
      <c r="V1" s="945"/>
      <c r="W1" s="945"/>
      <c r="X1" s="945"/>
      <c r="Y1" s="945"/>
      <c r="Z1" s="945"/>
      <c r="AA1" s="946"/>
      <c r="AB1" s="944" t="s">
        <v>14</v>
      </c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6"/>
      <c r="AN1" s="654" t="s">
        <v>15</v>
      </c>
      <c r="AO1" s="655"/>
      <c r="AP1" s="656"/>
    </row>
    <row r="2" spans="1:42" ht="15" customHeight="1" x14ac:dyDescent="0.25">
      <c r="A2" s="940"/>
      <c r="B2" s="801"/>
      <c r="C2" s="801"/>
      <c r="D2" s="801"/>
      <c r="E2" s="801"/>
      <c r="F2" s="801"/>
      <c r="G2" s="801"/>
      <c r="H2" s="801"/>
      <c r="I2" s="667"/>
      <c r="J2" s="907">
        <v>2012</v>
      </c>
      <c r="K2" s="652"/>
      <c r="L2" s="650">
        <v>2013</v>
      </c>
      <c r="M2" s="652"/>
      <c r="N2" s="650">
        <v>2014</v>
      </c>
      <c r="O2" s="652"/>
      <c r="P2" s="650">
        <v>2015</v>
      </c>
      <c r="Q2" s="652"/>
      <c r="R2" s="669"/>
      <c r="S2" s="667"/>
      <c r="T2" s="907">
        <v>2012</v>
      </c>
      <c r="U2" s="652"/>
      <c r="V2" s="650">
        <v>2013</v>
      </c>
      <c r="W2" s="652"/>
      <c r="X2" s="650">
        <v>2014</v>
      </c>
      <c r="Y2" s="652"/>
      <c r="Z2" s="650">
        <v>2015</v>
      </c>
      <c r="AA2" s="942"/>
      <c r="AB2" s="907" t="s">
        <v>16</v>
      </c>
      <c r="AC2" s="652"/>
      <c r="AD2" s="650" t="s">
        <v>17</v>
      </c>
      <c r="AE2" s="651"/>
      <c r="AF2" s="652"/>
      <c r="AG2" s="650" t="s">
        <v>18</v>
      </c>
      <c r="AH2" s="652"/>
      <c r="AI2" s="670" t="s">
        <v>19</v>
      </c>
      <c r="AJ2" s="671"/>
      <c r="AK2" s="650" t="s">
        <v>20</v>
      </c>
      <c r="AL2" s="651"/>
      <c r="AM2" s="942"/>
      <c r="AN2" s="657"/>
      <c r="AO2" s="658"/>
      <c r="AP2" s="659"/>
    </row>
    <row r="3" spans="1:42" ht="15.75" thickBot="1" x14ac:dyDescent="0.3">
      <c r="A3" s="941"/>
      <c r="B3" s="890"/>
      <c r="C3" s="890"/>
      <c r="D3" s="890"/>
      <c r="E3" s="890"/>
      <c r="F3" s="890"/>
      <c r="G3" s="890"/>
      <c r="H3" s="890"/>
      <c r="I3" s="943"/>
      <c r="J3" s="352" t="s">
        <v>21</v>
      </c>
      <c r="K3" s="353" t="s">
        <v>22</v>
      </c>
      <c r="L3" s="353" t="s">
        <v>21</v>
      </c>
      <c r="M3" s="353" t="s">
        <v>22</v>
      </c>
      <c r="N3" s="353" t="s">
        <v>21</v>
      </c>
      <c r="O3" s="353" t="s">
        <v>22</v>
      </c>
      <c r="P3" s="353" t="s">
        <v>21</v>
      </c>
      <c r="Q3" s="353" t="s">
        <v>22</v>
      </c>
      <c r="R3" s="787"/>
      <c r="S3" s="943"/>
      <c r="T3" s="352" t="s">
        <v>23</v>
      </c>
      <c r="U3" s="353" t="s">
        <v>22</v>
      </c>
      <c r="V3" s="353" t="s">
        <v>23</v>
      </c>
      <c r="W3" s="353" t="s">
        <v>22</v>
      </c>
      <c r="X3" s="353" t="s">
        <v>23</v>
      </c>
      <c r="Y3" s="353" t="s">
        <v>22</v>
      </c>
      <c r="Z3" s="353" t="s">
        <v>23</v>
      </c>
      <c r="AA3" s="354" t="s">
        <v>22</v>
      </c>
      <c r="AB3" s="352" t="s">
        <v>23</v>
      </c>
      <c r="AC3" s="353" t="s">
        <v>22</v>
      </c>
      <c r="AD3" s="353" t="s">
        <v>23</v>
      </c>
      <c r="AE3" s="353" t="s">
        <v>22</v>
      </c>
      <c r="AF3" s="353" t="s">
        <v>24</v>
      </c>
      <c r="AG3" s="353" t="s">
        <v>23</v>
      </c>
      <c r="AH3" s="353" t="s">
        <v>22</v>
      </c>
      <c r="AI3" s="59" t="s">
        <v>23</v>
      </c>
      <c r="AJ3" s="59" t="s">
        <v>22</v>
      </c>
      <c r="AK3" s="359" t="s">
        <v>23</v>
      </c>
      <c r="AL3" s="353" t="s">
        <v>22</v>
      </c>
      <c r="AM3" s="79" t="s">
        <v>25</v>
      </c>
      <c r="AN3" s="350" t="s">
        <v>109</v>
      </c>
      <c r="AO3" s="350" t="s">
        <v>113</v>
      </c>
      <c r="AP3" s="350" t="s">
        <v>111</v>
      </c>
    </row>
    <row r="4" spans="1:42" ht="109.5" customHeight="1" thickBot="1" x14ac:dyDescent="0.3">
      <c r="B4" s="356" t="s">
        <v>739</v>
      </c>
      <c r="C4" s="274"/>
      <c r="D4" s="948" t="s">
        <v>667</v>
      </c>
      <c r="E4" s="370" t="s">
        <v>668</v>
      </c>
      <c r="F4" s="370" t="s">
        <v>669</v>
      </c>
      <c r="G4" s="300">
        <v>0</v>
      </c>
      <c r="H4" s="266" t="s">
        <v>670</v>
      </c>
      <c r="I4" s="286" t="s">
        <v>671</v>
      </c>
      <c r="J4" s="64" t="s">
        <v>976</v>
      </c>
      <c r="K4" s="65">
        <v>0.05</v>
      </c>
      <c r="L4" s="64" t="s">
        <v>977</v>
      </c>
      <c r="M4" s="65">
        <v>0.35</v>
      </c>
      <c r="N4" s="64" t="s">
        <v>978</v>
      </c>
      <c r="O4" s="65">
        <v>1</v>
      </c>
      <c r="P4" s="64"/>
      <c r="Q4" s="65"/>
      <c r="R4" s="66">
        <v>80000</v>
      </c>
      <c r="S4" s="67"/>
      <c r="T4" s="68">
        <v>4000</v>
      </c>
      <c r="U4" s="65">
        <v>0.05</v>
      </c>
      <c r="V4" s="68">
        <v>28000</v>
      </c>
      <c r="W4" s="65">
        <v>0.35</v>
      </c>
      <c r="X4" s="68">
        <v>48000</v>
      </c>
      <c r="Y4" s="65">
        <v>1</v>
      </c>
      <c r="Z4" s="68"/>
      <c r="AA4" s="65"/>
      <c r="AB4" s="68">
        <v>80000</v>
      </c>
      <c r="AC4" s="65">
        <v>1</v>
      </c>
      <c r="AD4" s="68"/>
      <c r="AE4" s="65"/>
      <c r="AF4" s="63"/>
      <c r="AG4" s="63"/>
      <c r="AH4" s="63"/>
      <c r="AI4" s="69"/>
      <c r="AJ4" s="70"/>
      <c r="AK4" s="63"/>
      <c r="AL4" s="63"/>
      <c r="AM4" s="63"/>
      <c r="AN4" s="413" t="s">
        <v>979</v>
      </c>
      <c r="AO4" s="413" t="s">
        <v>980</v>
      </c>
      <c r="AP4" s="413" t="s">
        <v>981</v>
      </c>
    </row>
    <row r="5" spans="1:42" ht="93.75" customHeight="1" thickBot="1" x14ac:dyDescent="0.3">
      <c r="A5" s="356" t="s">
        <v>676</v>
      </c>
      <c r="B5" s="270"/>
      <c r="C5" s="262"/>
      <c r="D5" s="949"/>
      <c r="E5" s="369" t="s">
        <v>672</v>
      </c>
      <c r="F5" s="370" t="s">
        <v>673</v>
      </c>
      <c r="G5" s="300">
        <v>0</v>
      </c>
      <c r="H5" s="266" t="s">
        <v>674</v>
      </c>
      <c r="I5" s="266" t="s">
        <v>675</v>
      </c>
      <c r="J5" s="64">
        <v>1</v>
      </c>
      <c r="K5" s="65">
        <v>1</v>
      </c>
      <c r="L5" s="64"/>
      <c r="M5" s="65"/>
      <c r="N5" s="64"/>
      <c r="O5" s="65"/>
      <c r="P5" s="64"/>
      <c r="Q5" s="65"/>
      <c r="R5" s="66">
        <v>4000</v>
      </c>
      <c r="S5" s="67"/>
      <c r="T5" s="68">
        <v>4000</v>
      </c>
      <c r="U5" s="65">
        <v>1</v>
      </c>
      <c r="V5" s="68"/>
      <c r="W5" s="65"/>
      <c r="X5" s="68"/>
      <c r="Y5" s="65"/>
      <c r="Z5" s="68"/>
      <c r="AA5" s="65"/>
      <c r="AB5" s="68">
        <v>80000</v>
      </c>
      <c r="AC5" s="65">
        <v>1</v>
      </c>
      <c r="AD5" s="68"/>
      <c r="AE5" s="65"/>
      <c r="AF5" s="63"/>
      <c r="AG5" s="63"/>
      <c r="AH5" s="68"/>
      <c r="AI5" s="69"/>
      <c r="AJ5" s="70"/>
      <c r="AK5" s="63"/>
      <c r="AL5" s="63"/>
      <c r="AM5" s="63"/>
      <c r="AN5" s="413" t="s">
        <v>979</v>
      </c>
      <c r="AO5" s="367" t="s">
        <v>980</v>
      </c>
      <c r="AP5" s="413" t="s">
        <v>981</v>
      </c>
    </row>
    <row r="6" spans="1:42" ht="122.25" customHeight="1" thickBot="1" x14ac:dyDescent="0.3">
      <c r="A6" s="260"/>
      <c r="B6" s="260"/>
      <c r="C6" s="260"/>
      <c r="D6" s="260"/>
      <c r="E6" s="260"/>
      <c r="F6" s="370" t="s">
        <v>677</v>
      </c>
      <c r="G6" s="300">
        <v>0</v>
      </c>
      <c r="H6" s="266" t="s">
        <v>678</v>
      </c>
      <c r="I6" s="266" t="s">
        <v>679</v>
      </c>
      <c r="J6" s="64">
        <v>0.1</v>
      </c>
      <c r="K6" s="65">
        <v>0.1</v>
      </c>
      <c r="L6" s="64" t="s">
        <v>982</v>
      </c>
      <c r="M6" s="65">
        <v>0.6</v>
      </c>
      <c r="N6" s="64">
        <v>1</v>
      </c>
      <c r="O6" s="65">
        <v>1</v>
      </c>
      <c r="P6" s="64"/>
      <c r="Q6" s="65"/>
      <c r="R6" s="66">
        <v>40000</v>
      </c>
      <c r="S6" s="67"/>
      <c r="T6" s="68">
        <v>4000</v>
      </c>
      <c r="U6" s="65">
        <v>0.1</v>
      </c>
      <c r="V6" s="68">
        <v>24000</v>
      </c>
      <c r="W6" s="65">
        <v>0.6</v>
      </c>
      <c r="X6" s="68">
        <v>12000</v>
      </c>
      <c r="Y6" s="65"/>
      <c r="Z6" s="68"/>
      <c r="AA6" s="65"/>
      <c r="AB6" s="68">
        <v>40000</v>
      </c>
      <c r="AC6" s="65">
        <v>1</v>
      </c>
      <c r="AD6" s="68"/>
      <c r="AE6" s="65"/>
      <c r="AF6" s="63"/>
      <c r="AG6" s="63"/>
      <c r="AH6" s="63"/>
      <c r="AI6" s="71"/>
      <c r="AJ6" s="70"/>
      <c r="AK6" s="63"/>
      <c r="AL6" s="63"/>
      <c r="AM6" s="63"/>
      <c r="AN6" s="413" t="s">
        <v>979</v>
      </c>
      <c r="AO6" s="367" t="s">
        <v>980</v>
      </c>
      <c r="AP6" s="413" t="s">
        <v>981</v>
      </c>
    </row>
    <row r="7" spans="1:42" ht="77.25" thickBot="1" x14ac:dyDescent="0.3">
      <c r="A7" s="356" t="s">
        <v>676</v>
      </c>
      <c r="B7" s="356" t="s">
        <v>740</v>
      </c>
      <c r="C7" s="62"/>
      <c r="D7" s="950" t="s">
        <v>680</v>
      </c>
      <c r="E7" s="950" t="s">
        <v>681</v>
      </c>
      <c r="F7" s="370" t="s">
        <v>682</v>
      </c>
      <c r="G7" s="370">
        <v>0</v>
      </c>
      <c r="H7" s="266" t="s">
        <v>683</v>
      </c>
      <c r="I7" s="266" t="s">
        <v>684</v>
      </c>
      <c r="J7" s="64">
        <v>1</v>
      </c>
      <c r="K7" s="65">
        <v>1</v>
      </c>
      <c r="L7" s="64"/>
      <c r="M7" s="65"/>
      <c r="N7" s="64"/>
      <c r="O7" s="65"/>
      <c r="P7" s="64"/>
      <c r="Q7" s="65"/>
      <c r="R7" s="66">
        <v>7000</v>
      </c>
      <c r="S7" s="67"/>
      <c r="T7" s="68">
        <v>7000</v>
      </c>
      <c r="U7" s="65">
        <v>1</v>
      </c>
      <c r="V7" s="68"/>
      <c r="W7" s="65"/>
      <c r="X7" s="68"/>
      <c r="Y7" s="65"/>
      <c r="Z7" s="68"/>
      <c r="AA7" s="65"/>
      <c r="AB7" s="68">
        <v>7000</v>
      </c>
      <c r="AC7" s="65">
        <v>1</v>
      </c>
      <c r="AD7" s="68"/>
      <c r="AE7" s="65"/>
      <c r="AF7" s="63"/>
      <c r="AG7" s="63"/>
      <c r="AH7" s="63"/>
      <c r="AI7" s="69"/>
      <c r="AJ7" s="70"/>
      <c r="AK7" s="63"/>
      <c r="AL7" s="63"/>
      <c r="AM7" s="63"/>
      <c r="AN7" s="414" t="s">
        <v>983</v>
      </c>
      <c r="AO7" s="367" t="s">
        <v>980</v>
      </c>
      <c r="AP7" s="413" t="s">
        <v>984</v>
      </c>
    </row>
    <row r="8" spans="1:42" ht="82.5" customHeight="1" thickBot="1" x14ac:dyDescent="0.3">
      <c r="A8" s="62"/>
      <c r="B8" s="62"/>
      <c r="C8" s="62"/>
      <c r="D8" s="889"/>
      <c r="E8" s="889"/>
      <c r="F8" s="370" t="s">
        <v>685</v>
      </c>
      <c r="G8" s="370">
        <v>6</v>
      </c>
      <c r="H8" s="266" t="s">
        <v>686</v>
      </c>
      <c r="I8" s="287" t="s">
        <v>687</v>
      </c>
      <c r="J8" s="64" t="s">
        <v>985</v>
      </c>
      <c r="K8" s="65">
        <v>0.1</v>
      </c>
      <c r="L8" s="64">
        <v>0.2</v>
      </c>
      <c r="M8" s="65">
        <v>0.2</v>
      </c>
      <c r="N8" s="64">
        <v>1</v>
      </c>
      <c r="O8" s="65">
        <v>1</v>
      </c>
      <c r="P8" s="64"/>
      <c r="Q8" s="65"/>
      <c r="R8" s="66">
        <v>14000</v>
      </c>
      <c r="S8" s="67"/>
      <c r="T8" s="68">
        <v>14000</v>
      </c>
      <c r="U8" s="65">
        <v>1</v>
      </c>
      <c r="V8" s="68"/>
      <c r="W8" s="65"/>
      <c r="X8" s="68"/>
      <c r="Y8" s="65"/>
      <c r="Z8" s="68"/>
      <c r="AA8" s="65"/>
      <c r="AB8" s="68">
        <v>14000</v>
      </c>
      <c r="AC8" s="65">
        <v>1</v>
      </c>
      <c r="AD8" s="68"/>
      <c r="AE8" s="65"/>
      <c r="AF8" s="63"/>
      <c r="AG8" s="63"/>
      <c r="AH8" s="63"/>
      <c r="AI8" s="71"/>
      <c r="AJ8" s="70"/>
      <c r="AK8" s="63"/>
      <c r="AL8" s="63"/>
      <c r="AM8" s="63"/>
      <c r="AN8" s="414" t="s">
        <v>983</v>
      </c>
      <c r="AO8" s="367" t="s">
        <v>980</v>
      </c>
      <c r="AP8" s="413" t="s">
        <v>984</v>
      </c>
    </row>
    <row r="9" spans="1:42" ht="84" x14ac:dyDescent="0.25">
      <c r="A9" s="356" t="s">
        <v>676</v>
      </c>
      <c r="B9" s="356" t="s">
        <v>741</v>
      </c>
      <c r="C9" s="62"/>
      <c r="D9" s="887" t="s">
        <v>688</v>
      </c>
      <c r="E9" s="952" t="s">
        <v>689</v>
      </c>
      <c r="F9" s="960" t="s">
        <v>690</v>
      </c>
      <c r="G9" s="958">
        <v>0</v>
      </c>
      <c r="H9" s="278" t="s">
        <v>691</v>
      </c>
      <c r="I9" s="956" t="s">
        <v>693</v>
      </c>
      <c r="J9" s="64">
        <v>0</v>
      </c>
      <c r="K9" s="65">
        <v>0</v>
      </c>
      <c r="L9" s="64" t="s">
        <v>362</v>
      </c>
      <c r="M9" s="65">
        <v>0.25</v>
      </c>
      <c r="N9" s="64">
        <v>0.75</v>
      </c>
      <c r="O9" s="65">
        <v>0.75</v>
      </c>
      <c r="P9" s="64">
        <v>1</v>
      </c>
      <c r="Q9" s="65">
        <v>1</v>
      </c>
      <c r="R9" s="66">
        <v>250000</v>
      </c>
      <c r="S9" s="67"/>
      <c r="T9" s="68">
        <v>0</v>
      </c>
      <c r="U9" s="65">
        <v>0</v>
      </c>
      <c r="V9" s="68">
        <v>62500</v>
      </c>
      <c r="W9" s="65">
        <v>0.25</v>
      </c>
      <c r="X9" s="68">
        <v>125000</v>
      </c>
      <c r="Y9" s="65">
        <v>0.75</v>
      </c>
      <c r="Z9" s="68">
        <v>62500</v>
      </c>
      <c r="AA9" s="65">
        <v>1</v>
      </c>
      <c r="AB9" s="68"/>
      <c r="AC9" s="65"/>
      <c r="AD9" s="68"/>
      <c r="AE9" s="65"/>
      <c r="AF9" s="63"/>
      <c r="AG9" s="63"/>
      <c r="AH9" s="63"/>
      <c r="AI9" s="71"/>
      <c r="AJ9" s="70"/>
      <c r="AK9" s="68">
        <v>225000</v>
      </c>
      <c r="AL9" s="65">
        <v>0.9</v>
      </c>
      <c r="AM9" s="63"/>
      <c r="AN9" s="413" t="s">
        <v>741</v>
      </c>
      <c r="AO9" s="367" t="s">
        <v>980</v>
      </c>
      <c r="AP9" s="367" t="s">
        <v>986</v>
      </c>
    </row>
    <row r="10" spans="1:42" ht="45.75" customHeight="1" thickBot="1" x14ac:dyDescent="0.3">
      <c r="A10" s="62"/>
      <c r="B10" s="62"/>
      <c r="C10" s="62"/>
      <c r="D10" s="888"/>
      <c r="E10" s="953"/>
      <c r="F10" s="961"/>
      <c r="G10" s="959"/>
      <c r="H10" s="266" t="s">
        <v>692</v>
      </c>
      <c r="I10" s="957"/>
      <c r="J10" s="64"/>
      <c r="K10" s="65"/>
      <c r="L10" s="64"/>
      <c r="M10" s="65"/>
      <c r="N10" s="64"/>
      <c r="O10" s="65"/>
      <c r="P10" s="64"/>
      <c r="Q10" s="65"/>
      <c r="R10" s="66"/>
      <c r="S10" s="67"/>
      <c r="T10" s="68"/>
      <c r="U10" s="65"/>
      <c r="V10" s="68"/>
      <c r="W10" s="65"/>
      <c r="X10" s="68"/>
      <c r="Y10" s="65"/>
      <c r="Z10" s="68"/>
      <c r="AA10" s="68"/>
      <c r="AB10" s="68"/>
      <c r="AC10" s="65"/>
      <c r="AD10" s="68"/>
      <c r="AE10" s="65"/>
      <c r="AF10" s="63"/>
      <c r="AG10" s="63"/>
      <c r="AH10" s="63"/>
      <c r="AI10" s="69"/>
      <c r="AJ10" s="70"/>
      <c r="AK10" s="68"/>
      <c r="AL10" s="65"/>
      <c r="AM10" s="63"/>
      <c r="AN10" s="413" t="s">
        <v>741</v>
      </c>
      <c r="AO10" s="367" t="s">
        <v>980</v>
      </c>
      <c r="AP10" s="367" t="s">
        <v>986</v>
      </c>
    </row>
    <row r="11" spans="1:42" ht="48" customHeight="1" thickBot="1" x14ac:dyDescent="0.3">
      <c r="A11" s="61"/>
      <c r="B11" s="61"/>
      <c r="C11" s="61"/>
      <c r="D11" s="888"/>
      <c r="E11" s="953"/>
      <c r="F11" s="370" t="s">
        <v>694</v>
      </c>
      <c r="G11" s="299">
        <v>0</v>
      </c>
      <c r="H11" s="278" t="s">
        <v>695</v>
      </c>
      <c r="I11" s="275" t="s">
        <v>696</v>
      </c>
      <c r="J11" s="427">
        <v>30</v>
      </c>
      <c r="K11" s="428">
        <v>0.25</v>
      </c>
      <c r="L11" s="357">
        <v>30</v>
      </c>
      <c r="M11" s="65">
        <v>0.5</v>
      </c>
      <c r="N11" s="357">
        <v>30</v>
      </c>
      <c r="O11" s="65">
        <v>0.75</v>
      </c>
      <c r="P11" s="357">
        <v>30</v>
      </c>
      <c r="Q11" s="65">
        <v>1</v>
      </c>
      <c r="R11" s="66">
        <v>90000</v>
      </c>
      <c r="S11" s="61"/>
      <c r="T11" s="68">
        <v>22500</v>
      </c>
      <c r="U11" s="357">
        <v>25</v>
      </c>
      <c r="V11" s="68">
        <v>22500</v>
      </c>
      <c r="W11" s="61"/>
      <c r="X11" s="68">
        <v>22500</v>
      </c>
      <c r="Y11" s="61"/>
      <c r="Z11" s="68">
        <v>22500</v>
      </c>
      <c r="AA11" s="61"/>
      <c r="AB11" s="68"/>
      <c r="AC11" s="61"/>
      <c r="AD11" s="61"/>
      <c r="AE11" s="61"/>
      <c r="AF11" s="61"/>
      <c r="AG11" s="61"/>
      <c r="AH11" s="61"/>
      <c r="AI11" s="61"/>
      <c r="AJ11" s="61"/>
      <c r="AK11" s="68"/>
      <c r="AL11" s="65"/>
      <c r="AM11" s="61"/>
      <c r="AN11" s="413" t="s">
        <v>741</v>
      </c>
      <c r="AO11" s="367" t="s">
        <v>980</v>
      </c>
      <c r="AP11" s="367" t="s">
        <v>986</v>
      </c>
    </row>
    <row r="12" spans="1:42" ht="86.25" customHeight="1" thickBot="1" x14ac:dyDescent="0.3">
      <c r="A12" s="61"/>
      <c r="B12" s="61"/>
      <c r="C12" s="61"/>
      <c r="D12" s="888"/>
      <c r="E12" s="953"/>
      <c r="F12" s="370" t="s">
        <v>697</v>
      </c>
      <c r="G12" s="265">
        <v>0</v>
      </c>
      <c r="H12" s="286" t="s">
        <v>698</v>
      </c>
      <c r="I12" s="286" t="s">
        <v>699</v>
      </c>
      <c r="J12" s="61"/>
      <c r="K12" s="65">
        <v>0.5</v>
      </c>
      <c r="L12" s="357"/>
      <c r="M12" s="65">
        <v>1</v>
      </c>
      <c r="N12" s="357"/>
      <c r="O12" s="65"/>
      <c r="P12" s="357"/>
      <c r="Q12" s="65"/>
      <c r="R12" s="66">
        <v>250000</v>
      </c>
      <c r="S12" s="61"/>
      <c r="T12" s="68"/>
      <c r="U12" s="61"/>
      <c r="V12" s="68">
        <v>250000</v>
      </c>
      <c r="W12" s="65">
        <v>1</v>
      </c>
      <c r="X12" s="61"/>
      <c r="Y12" s="61"/>
      <c r="Z12" s="61"/>
      <c r="AA12" s="61"/>
      <c r="AB12" s="68"/>
      <c r="AC12" s="61"/>
      <c r="AD12" s="61"/>
      <c r="AE12" s="61"/>
      <c r="AF12" s="61"/>
      <c r="AG12" s="61"/>
      <c r="AH12" s="61"/>
      <c r="AI12" s="61"/>
      <c r="AJ12" s="61"/>
      <c r="AK12" s="68"/>
      <c r="AL12" s="65"/>
      <c r="AM12" s="61"/>
      <c r="AN12" s="413" t="s">
        <v>741</v>
      </c>
      <c r="AO12" s="367" t="s">
        <v>980</v>
      </c>
      <c r="AP12" s="367" t="s">
        <v>986</v>
      </c>
    </row>
    <row r="13" spans="1:42" ht="58.5" customHeight="1" thickBot="1" x14ac:dyDescent="0.3">
      <c r="A13" s="61"/>
      <c r="B13" s="61"/>
      <c r="C13" s="61"/>
      <c r="D13" s="888"/>
      <c r="E13" s="953"/>
      <c r="F13" s="370" t="s">
        <v>700</v>
      </c>
      <c r="G13" s="300">
        <v>0</v>
      </c>
      <c r="H13" s="266" t="s">
        <v>701</v>
      </c>
      <c r="I13" s="266" t="s">
        <v>702</v>
      </c>
      <c r="J13" s="61"/>
      <c r="K13" s="65">
        <v>1</v>
      </c>
      <c r="L13" s="357"/>
      <c r="M13" s="61"/>
      <c r="N13" s="357"/>
      <c r="O13" s="61"/>
      <c r="P13" s="357"/>
      <c r="Q13" s="61"/>
      <c r="R13" s="66">
        <v>10000</v>
      </c>
      <c r="S13" s="61"/>
      <c r="T13" s="68">
        <v>10000</v>
      </c>
      <c r="U13" s="65">
        <v>1</v>
      </c>
      <c r="V13" s="61"/>
      <c r="W13" s="61"/>
      <c r="X13" s="61"/>
      <c r="Y13" s="61"/>
      <c r="Z13" s="61"/>
      <c r="AA13" s="61"/>
      <c r="AB13" s="68"/>
      <c r="AC13" s="61"/>
      <c r="AD13" s="61"/>
      <c r="AE13" s="61"/>
      <c r="AF13" s="61"/>
      <c r="AG13" s="61"/>
      <c r="AH13" s="61"/>
      <c r="AI13" s="61"/>
      <c r="AJ13" s="61"/>
      <c r="AK13" s="68"/>
      <c r="AL13" s="65"/>
      <c r="AM13" s="61"/>
      <c r="AN13" s="413" t="s">
        <v>741</v>
      </c>
      <c r="AO13" s="367" t="s">
        <v>980</v>
      </c>
      <c r="AP13" s="367" t="s">
        <v>986</v>
      </c>
    </row>
    <row r="14" spans="1:42" ht="85.5" customHeight="1" thickBot="1" x14ac:dyDescent="0.3">
      <c r="A14" s="61"/>
      <c r="B14" s="61"/>
      <c r="C14" s="61"/>
      <c r="D14" s="951"/>
      <c r="E14" s="954"/>
      <c r="F14" s="288" t="s">
        <v>703</v>
      </c>
      <c r="G14" s="292">
        <v>0</v>
      </c>
      <c r="H14" s="288" t="s">
        <v>704</v>
      </c>
      <c r="I14" s="288" t="s">
        <v>705</v>
      </c>
      <c r="J14" s="61"/>
      <c r="K14" s="61"/>
      <c r="L14" s="357"/>
      <c r="M14" s="61"/>
      <c r="N14" s="357"/>
      <c r="O14" s="61"/>
      <c r="P14" s="357"/>
      <c r="Q14" s="65">
        <v>1</v>
      </c>
      <c r="R14" s="66">
        <v>250000</v>
      </c>
      <c r="S14" s="61"/>
      <c r="T14" s="68"/>
      <c r="U14" s="61"/>
      <c r="V14" s="61"/>
      <c r="W14" s="61"/>
      <c r="X14" s="61"/>
      <c r="Y14" s="61"/>
      <c r="Z14" s="68">
        <v>250000</v>
      </c>
      <c r="AA14" s="65">
        <v>1</v>
      </c>
      <c r="AB14" s="68">
        <v>250000</v>
      </c>
      <c r="AC14" s="61"/>
      <c r="AD14" s="61"/>
      <c r="AE14" s="61"/>
      <c r="AF14" s="61"/>
      <c r="AG14" s="61"/>
      <c r="AH14" s="61"/>
      <c r="AI14" s="61"/>
      <c r="AJ14" s="61"/>
      <c r="AK14" s="68"/>
      <c r="AL14" s="65"/>
      <c r="AM14" s="61"/>
      <c r="AN14" s="413" t="s">
        <v>741</v>
      </c>
      <c r="AO14" s="367" t="s">
        <v>980</v>
      </c>
      <c r="AP14" s="367" t="s">
        <v>986</v>
      </c>
    </row>
    <row r="15" spans="1:42" ht="104.25" customHeight="1" thickBot="1" x14ac:dyDescent="0.3">
      <c r="A15" s="356" t="s">
        <v>676</v>
      </c>
      <c r="B15" s="356" t="s">
        <v>742</v>
      </c>
      <c r="C15" s="62"/>
      <c r="D15" s="950" t="s">
        <v>706</v>
      </c>
      <c r="E15" s="950" t="s">
        <v>707</v>
      </c>
      <c r="F15" s="370" t="s">
        <v>708</v>
      </c>
      <c r="G15" s="299">
        <v>0</v>
      </c>
      <c r="H15" s="266" t="s">
        <v>713</v>
      </c>
      <c r="I15" s="275" t="s">
        <v>714</v>
      </c>
      <c r="J15" s="64">
        <v>1</v>
      </c>
      <c r="K15" s="65">
        <v>1</v>
      </c>
      <c r="L15" s="357"/>
      <c r="M15" s="65"/>
      <c r="N15" s="357"/>
      <c r="O15" s="65"/>
      <c r="P15" s="357"/>
      <c r="Q15" s="65"/>
      <c r="R15" s="66">
        <v>5000</v>
      </c>
      <c r="S15" s="67"/>
      <c r="T15" s="68">
        <v>5000</v>
      </c>
      <c r="U15" s="65">
        <v>1</v>
      </c>
      <c r="V15" s="68"/>
      <c r="W15" s="65"/>
      <c r="X15" s="68"/>
      <c r="Y15" s="65"/>
      <c r="Z15" s="68"/>
      <c r="AA15" s="65"/>
      <c r="AB15" s="68">
        <v>5000</v>
      </c>
      <c r="AC15" s="65"/>
      <c r="AD15" s="68"/>
      <c r="AE15" s="65"/>
      <c r="AF15" s="63"/>
      <c r="AG15" s="63"/>
      <c r="AH15" s="63"/>
      <c r="AI15" s="69"/>
      <c r="AJ15" s="70"/>
      <c r="AK15" s="68"/>
      <c r="AL15" s="65"/>
      <c r="AM15" s="63"/>
      <c r="AN15" s="413" t="s">
        <v>710</v>
      </c>
      <c r="AO15" s="367" t="s">
        <v>980</v>
      </c>
      <c r="AP15" s="413" t="s">
        <v>987</v>
      </c>
    </row>
    <row r="16" spans="1:42" ht="103.5" customHeight="1" thickBot="1" x14ac:dyDescent="0.3">
      <c r="A16" s="62"/>
      <c r="B16" s="62"/>
      <c r="C16" s="62"/>
      <c r="D16" s="888"/>
      <c r="E16" s="930"/>
      <c r="F16" s="370" t="s">
        <v>709</v>
      </c>
      <c r="G16" s="267" t="s">
        <v>715</v>
      </c>
      <c r="H16" s="266" t="s">
        <v>716</v>
      </c>
      <c r="I16" s="276" t="s">
        <v>717</v>
      </c>
      <c r="J16" s="64">
        <v>1</v>
      </c>
      <c r="K16" s="65">
        <v>1</v>
      </c>
      <c r="L16" s="357"/>
      <c r="M16" s="65"/>
      <c r="N16" s="357"/>
      <c r="O16" s="65"/>
      <c r="P16" s="357"/>
      <c r="Q16" s="65"/>
      <c r="R16" s="66">
        <v>89000</v>
      </c>
      <c r="S16" s="67"/>
      <c r="T16" s="68">
        <v>89000</v>
      </c>
      <c r="U16" s="65">
        <v>1</v>
      </c>
      <c r="V16" s="68"/>
      <c r="W16" s="65"/>
      <c r="X16" s="68"/>
      <c r="Y16" s="65"/>
      <c r="Z16" s="68"/>
      <c r="AA16" s="65"/>
      <c r="AB16" s="68">
        <v>89000</v>
      </c>
      <c r="AC16" s="65"/>
      <c r="AD16" s="68"/>
      <c r="AE16" s="65"/>
      <c r="AF16" s="63"/>
      <c r="AG16" s="63"/>
      <c r="AH16" s="68"/>
      <c r="AI16" s="69"/>
      <c r="AJ16" s="70"/>
      <c r="AK16" s="68"/>
      <c r="AL16" s="65"/>
      <c r="AM16" s="68"/>
      <c r="AN16" s="413" t="s">
        <v>710</v>
      </c>
      <c r="AO16" s="367" t="s">
        <v>988</v>
      </c>
      <c r="AP16" s="413" t="s">
        <v>987</v>
      </c>
    </row>
    <row r="17" spans="1:43" ht="90" thickBot="1" x14ac:dyDescent="0.3">
      <c r="A17" s="62"/>
      <c r="B17" s="62"/>
      <c r="C17" s="62"/>
      <c r="D17" s="888"/>
      <c r="E17" s="955" t="s">
        <v>710</v>
      </c>
      <c r="F17" s="553" t="s">
        <v>1175</v>
      </c>
      <c r="G17" s="265">
        <v>0</v>
      </c>
      <c r="H17" s="266" t="s">
        <v>718</v>
      </c>
      <c r="I17" s="276" t="s">
        <v>719</v>
      </c>
      <c r="J17" s="64">
        <v>1</v>
      </c>
      <c r="K17" s="65">
        <v>0.25</v>
      </c>
      <c r="L17" s="357">
        <v>1</v>
      </c>
      <c r="M17" s="65">
        <v>0.5</v>
      </c>
      <c r="N17" s="357">
        <v>1</v>
      </c>
      <c r="O17" s="65">
        <v>0.75</v>
      </c>
      <c r="P17" s="357">
        <v>1</v>
      </c>
      <c r="Q17" s="65">
        <v>1</v>
      </c>
      <c r="R17" s="66">
        <v>5000</v>
      </c>
      <c r="S17" s="67"/>
      <c r="T17" s="68">
        <v>1250</v>
      </c>
      <c r="U17" s="65">
        <v>0.25</v>
      </c>
      <c r="V17" s="68">
        <v>1250</v>
      </c>
      <c r="W17" s="65">
        <v>0.25</v>
      </c>
      <c r="X17" s="68">
        <v>1250</v>
      </c>
      <c r="Y17" s="65">
        <v>0.25</v>
      </c>
      <c r="Z17" s="68">
        <v>1250</v>
      </c>
      <c r="AA17" s="65">
        <v>0.25</v>
      </c>
      <c r="AB17" s="68">
        <v>5000</v>
      </c>
      <c r="AC17" s="65"/>
      <c r="AD17" s="68"/>
      <c r="AE17" s="65"/>
      <c r="AF17" s="63"/>
      <c r="AG17" s="63"/>
      <c r="AH17" s="63"/>
      <c r="AI17" s="71"/>
      <c r="AJ17" s="70"/>
      <c r="AK17" s="68"/>
      <c r="AL17" s="65"/>
      <c r="AM17" s="63"/>
      <c r="AN17" s="413" t="s">
        <v>710</v>
      </c>
      <c r="AO17" s="367" t="s">
        <v>988</v>
      </c>
      <c r="AP17" s="413" t="s">
        <v>987</v>
      </c>
    </row>
    <row r="18" spans="1:43" ht="60" customHeight="1" thickBot="1" x14ac:dyDescent="0.3">
      <c r="A18" s="62"/>
      <c r="B18" s="62"/>
      <c r="C18" s="62"/>
      <c r="D18" s="888"/>
      <c r="E18" s="888"/>
      <c r="F18" s="370" t="s">
        <v>711</v>
      </c>
      <c r="G18" s="300" t="s">
        <v>720</v>
      </c>
      <c r="H18" s="266" t="s">
        <v>721</v>
      </c>
      <c r="I18" s="276" t="s">
        <v>722</v>
      </c>
      <c r="J18" s="64">
        <v>20</v>
      </c>
      <c r="K18" s="65">
        <v>0.25</v>
      </c>
      <c r="L18" s="357">
        <v>20</v>
      </c>
      <c r="M18" s="65">
        <v>0.5</v>
      </c>
      <c r="N18" s="357">
        <v>20</v>
      </c>
      <c r="O18" s="65">
        <v>0.75</v>
      </c>
      <c r="P18" s="357">
        <v>20</v>
      </c>
      <c r="Q18" s="65">
        <v>1</v>
      </c>
      <c r="R18" s="66">
        <v>96000</v>
      </c>
      <c r="S18" s="67"/>
      <c r="T18" s="68">
        <v>24000</v>
      </c>
      <c r="U18" s="65">
        <v>0.25</v>
      </c>
      <c r="V18" s="68">
        <v>24000</v>
      </c>
      <c r="W18" s="65">
        <v>0.25</v>
      </c>
      <c r="X18" s="68">
        <v>24000</v>
      </c>
      <c r="Y18" s="65">
        <v>0.25</v>
      </c>
      <c r="Z18" s="68">
        <v>24000</v>
      </c>
      <c r="AA18" s="65">
        <v>0.25</v>
      </c>
      <c r="AB18" s="68">
        <v>96000</v>
      </c>
      <c r="AC18" s="65"/>
      <c r="AD18" s="68"/>
      <c r="AE18" s="65"/>
      <c r="AF18" s="63"/>
      <c r="AG18" s="63"/>
      <c r="AH18" s="63"/>
      <c r="AI18" s="69"/>
      <c r="AJ18" s="70"/>
      <c r="AK18" s="68"/>
      <c r="AL18" s="65"/>
      <c r="AM18" s="63"/>
      <c r="AN18" s="413" t="s">
        <v>710</v>
      </c>
      <c r="AO18" s="367" t="s">
        <v>988</v>
      </c>
      <c r="AP18" s="413" t="s">
        <v>987</v>
      </c>
    </row>
    <row r="19" spans="1:43" ht="58.9" customHeight="1" thickBot="1" x14ac:dyDescent="0.3">
      <c r="A19" s="62"/>
      <c r="B19" s="62"/>
      <c r="C19" s="62"/>
      <c r="D19" s="930"/>
      <c r="E19" s="930"/>
      <c r="F19" s="370" t="s">
        <v>712</v>
      </c>
      <c r="G19" s="300" t="s">
        <v>723</v>
      </c>
      <c r="H19" s="266" t="s">
        <v>724</v>
      </c>
      <c r="I19" s="287" t="s">
        <v>725</v>
      </c>
      <c r="J19" s="64">
        <v>5</v>
      </c>
      <c r="K19" s="65">
        <v>0.25</v>
      </c>
      <c r="L19" s="357">
        <v>12</v>
      </c>
      <c r="M19" s="65">
        <v>0.5</v>
      </c>
      <c r="N19" s="357">
        <v>17</v>
      </c>
      <c r="O19" s="65">
        <v>0.75</v>
      </c>
      <c r="P19" s="357">
        <v>22</v>
      </c>
      <c r="Q19" s="65">
        <v>1</v>
      </c>
      <c r="R19" s="66">
        <v>120000</v>
      </c>
      <c r="S19" s="67"/>
      <c r="T19" s="68">
        <v>30000</v>
      </c>
      <c r="U19" s="65">
        <v>0.25</v>
      </c>
      <c r="V19" s="68">
        <v>30000</v>
      </c>
      <c r="W19" s="65">
        <v>0.25</v>
      </c>
      <c r="X19" s="68">
        <v>30000</v>
      </c>
      <c r="Y19" s="65">
        <v>0.25</v>
      </c>
      <c r="Z19" s="68">
        <v>30000</v>
      </c>
      <c r="AA19" s="65">
        <v>0.25</v>
      </c>
      <c r="AB19" s="68">
        <v>120000</v>
      </c>
      <c r="AC19" s="65"/>
      <c r="AD19" s="68"/>
      <c r="AE19" s="65"/>
      <c r="AF19" s="63"/>
      <c r="AG19" s="63"/>
      <c r="AH19" s="63"/>
      <c r="AI19" s="71"/>
      <c r="AJ19" s="70"/>
      <c r="AK19" s="68"/>
      <c r="AL19" s="65"/>
      <c r="AM19" s="63"/>
      <c r="AN19" s="413" t="s">
        <v>710</v>
      </c>
      <c r="AO19" s="367" t="s">
        <v>988</v>
      </c>
      <c r="AP19" s="413" t="s">
        <v>987</v>
      </c>
    </row>
    <row r="20" spans="1:43" ht="67.5" customHeight="1" thickBot="1" x14ac:dyDescent="0.3">
      <c r="A20" s="62"/>
      <c r="B20" s="62"/>
      <c r="C20" s="62"/>
      <c r="D20" s="955" t="s">
        <v>706</v>
      </c>
      <c r="E20" s="955" t="s">
        <v>726</v>
      </c>
      <c r="F20" s="370" t="s">
        <v>727</v>
      </c>
      <c r="G20" s="300">
        <v>3</v>
      </c>
      <c r="H20" s="266" t="s">
        <v>732</v>
      </c>
      <c r="I20" s="275" t="s">
        <v>733</v>
      </c>
      <c r="J20" s="63">
        <v>3</v>
      </c>
      <c r="K20" s="65">
        <v>0.25</v>
      </c>
      <c r="L20" s="357">
        <v>3</v>
      </c>
      <c r="M20" s="65">
        <v>0.5</v>
      </c>
      <c r="N20" s="357">
        <v>3</v>
      </c>
      <c r="O20" s="65">
        <v>0.75</v>
      </c>
      <c r="P20" s="357">
        <v>3</v>
      </c>
      <c r="Q20" s="65">
        <v>1</v>
      </c>
      <c r="R20" s="66">
        <v>12000</v>
      </c>
      <c r="S20" s="66"/>
      <c r="T20" s="68">
        <v>3000</v>
      </c>
      <c r="U20" s="65">
        <v>0.25</v>
      </c>
      <c r="V20" s="68">
        <v>3000</v>
      </c>
      <c r="W20" s="65">
        <v>0.25</v>
      </c>
      <c r="X20" s="68">
        <v>3000</v>
      </c>
      <c r="Y20" s="65">
        <v>0.25</v>
      </c>
      <c r="Z20" s="68">
        <v>3000</v>
      </c>
      <c r="AA20" s="65">
        <v>0.25</v>
      </c>
      <c r="AB20" s="68">
        <v>12000</v>
      </c>
      <c r="AC20" s="68"/>
      <c r="AD20" s="65"/>
      <c r="AE20" s="68"/>
      <c r="AF20" s="65"/>
      <c r="AG20" s="63"/>
      <c r="AH20" s="63"/>
      <c r="AI20" s="63"/>
      <c r="AJ20" s="71"/>
      <c r="AK20" s="68"/>
      <c r="AL20" s="65"/>
      <c r="AM20" s="63"/>
      <c r="AN20" s="413" t="s">
        <v>989</v>
      </c>
      <c r="AO20" s="367" t="s">
        <v>988</v>
      </c>
      <c r="AP20" s="413" t="s">
        <v>987</v>
      </c>
      <c r="AQ20" s="62"/>
    </row>
    <row r="21" spans="1:43" ht="96" customHeight="1" thickBot="1" x14ac:dyDescent="0.3">
      <c r="A21" s="62"/>
      <c r="B21" s="62"/>
      <c r="C21" s="62"/>
      <c r="D21" s="888"/>
      <c r="E21" s="888"/>
      <c r="F21" s="370" t="s">
        <v>728</v>
      </c>
      <c r="G21" s="299">
        <v>0</v>
      </c>
      <c r="H21" s="266" t="s">
        <v>734</v>
      </c>
      <c r="I21" s="276" t="s">
        <v>735</v>
      </c>
      <c r="J21" s="63">
        <v>3</v>
      </c>
      <c r="K21" s="65">
        <v>0.25</v>
      </c>
      <c r="L21" s="357">
        <v>3</v>
      </c>
      <c r="M21" s="65">
        <v>0.5</v>
      </c>
      <c r="N21" s="357">
        <v>3</v>
      </c>
      <c r="O21" s="65">
        <v>0.75</v>
      </c>
      <c r="P21" s="357">
        <v>3</v>
      </c>
      <c r="Q21" s="65">
        <v>1</v>
      </c>
      <c r="R21" s="66">
        <v>20000</v>
      </c>
      <c r="S21" s="66"/>
      <c r="T21" s="68">
        <v>5000</v>
      </c>
      <c r="U21" s="65">
        <v>0.25</v>
      </c>
      <c r="V21" s="68">
        <v>5000</v>
      </c>
      <c r="W21" s="65">
        <v>0.25</v>
      </c>
      <c r="X21" s="68">
        <v>5000</v>
      </c>
      <c r="Y21" s="65">
        <v>0.25</v>
      </c>
      <c r="Z21" s="68">
        <v>5000</v>
      </c>
      <c r="AA21" s="65">
        <v>0.25</v>
      </c>
      <c r="AB21" s="68">
        <v>20000</v>
      </c>
      <c r="AC21" s="68"/>
      <c r="AD21" s="65"/>
      <c r="AE21" s="68"/>
      <c r="AF21" s="65"/>
      <c r="AG21" s="63"/>
      <c r="AH21" s="63"/>
      <c r="AI21" s="63"/>
      <c r="AJ21" s="69"/>
      <c r="AK21" s="68"/>
      <c r="AL21" s="65"/>
      <c r="AM21" s="63"/>
      <c r="AN21" s="413" t="s">
        <v>989</v>
      </c>
      <c r="AO21" s="367" t="s">
        <v>988</v>
      </c>
      <c r="AP21" s="413" t="s">
        <v>987</v>
      </c>
      <c r="AQ21" s="62"/>
    </row>
    <row r="22" spans="1:43" ht="82.5" customHeight="1" thickBot="1" x14ac:dyDescent="0.3">
      <c r="A22" s="61"/>
      <c r="B22" s="61"/>
      <c r="C22" s="61"/>
      <c r="D22" s="888"/>
      <c r="E22" s="930"/>
      <c r="F22" s="553" t="s">
        <v>729</v>
      </c>
      <c r="G22" s="267">
        <v>3</v>
      </c>
      <c r="H22" s="266" t="s">
        <v>736</v>
      </c>
      <c r="I22" s="276" t="s">
        <v>614</v>
      </c>
      <c r="J22" s="357">
        <v>2</v>
      </c>
      <c r="K22" s="65">
        <v>0.3</v>
      </c>
      <c r="L22" s="357">
        <v>2</v>
      </c>
      <c r="M22" s="65">
        <v>0.5</v>
      </c>
      <c r="N22" s="357">
        <v>2</v>
      </c>
      <c r="O22" s="65">
        <v>0.75</v>
      </c>
      <c r="P22" s="357">
        <v>2</v>
      </c>
      <c r="Q22" s="65">
        <v>1</v>
      </c>
      <c r="R22" s="66">
        <v>4000</v>
      </c>
      <c r="S22" s="61"/>
      <c r="T22" s="68">
        <v>1000</v>
      </c>
      <c r="U22" s="65">
        <v>0.25</v>
      </c>
      <c r="V22" s="68">
        <v>1000</v>
      </c>
      <c r="W22" s="65">
        <v>0.25</v>
      </c>
      <c r="X22" s="68">
        <v>1000</v>
      </c>
      <c r="Y22" s="65">
        <v>0.25</v>
      </c>
      <c r="Z22" s="68">
        <v>1000</v>
      </c>
      <c r="AA22" s="65">
        <v>0.25</v>
      </c>
      <c r="AB22" s="68">
        <v>4000</v>
      </c>
      <c r="AC22" s="61"/>
      <c r="AD22" s="61"/>
      <c r="AE22" s="61"/>
      <c r="AF22" s="61"/>
      <c r="AG22" s="61"/>
      <c r="AH22" s="61"/>
      <c r="AI22" s="61"/>
      <c r="AJ22" s="61"/>
      <c r="AK22" s="68"/>
      <c r="AL22" s="65"/>
      <c r="AM22" s="61"/>
      <c r="AN22" s="413" t="s">
        <v>989</v>
      </c>
      <c r="AO22" s="367" t="s">
        <v>988</v>
      </c>
      <c r="AP22" s="413" t="s">
        <v>987</v>
      </c>
      <c r="AQ22" s="61"/>
    </row>
    <row r="23" spans="1:43" ht="105" customHeight="1" thickBot="1" x14ac:dyDescent="0.3">
      <c r="A23" s="61"/>
      <c r="B23" s="61"/>
      <c r="C23" s="61"/>
      <c r="D23" s="930"/>
      <c r="E23" s="370" t="s">
        <v>730</v>
      </c>
      <c r="F23" s="370" t="s">
        <v>731</v>
      </c>
      <c r="G23" s="265">
        <v>0</v>
      </c>
      <c r="H23" s="266" t="s">
        <v>737</v>
      </c>
      <c r="I23" s="277" t="s">
        <v>738</v>
      </c>
      <c r="J23" s="357">
        <v>1</v>
      </c>
      <c r="K23" s="65">
        <v>1</v>
      </c>
      <c r="L23" s="357"/>
      <c r="M23" s="65"/>
      <c r="N23" s="357"/>
      <c r="O23" s="65"/>
      <c r="P23" s="357"/>
      <c r="Q23" s="65"/>
      <c r="R23" s="66">
        <v>1000</v>
      </c>
      <c r="S23" s="61"/>
      <c r="T23" s="68">
        <v>1000</v>
      </c>
      <c r="U23" s="65">
        <v>1</v>
      </c>
      <c r="V23" s="61"/>
      <c r="W23" s="65"/>
      <c r="X23" s="61"/>
      <c r="Y23" s="65"/>
      <c r="Z23" s="61"/>
      <c r="AA23" s="65"/>
      <c r="AB23" s="68">
        <v>1000</v>
      </c>
      <c r="AC23" s="61"/>
      <c r="AD23" s="61"/>
      <c r="AE23" s="61"/>
      <c r="AF23" s="61"/>
      <c r="AG23" s="61"/>
      <c r="AH23" s="61"/>
      <c r="AI23" s="61"/>
      <c r="AJ23" s="61"/>
      <c r="AK23" s="68"/>
      <c r="AL23" s="65"/>
      <c r="AM23" s="61"/>
      <c r="AN23" s="413" t="s">
        <v>989</v>
      </c>
      <c r="AO23" s="367" t="s">
        <v>988</v>
      </c>
      <c r="AP23" s="413" t="s">
        <v>987</v>
      </c>
      <c r="AQ23" s="61"/>
    </row>
    <row r="24" spans="1:43" ht="75" customHeight="1" thickBot="1" x14ac:dyDescent="0.3">
      <c r="A24" s="61"/>
      <c r="B24" s="61"/>
      <c r="C24" s="61"/>
      <c r="D24" s="955" t="s">
        <v>743</v>
      </c>
      <c r="E24" s="273" t="s">
        <v>744</v>
      </c>
      <c r="F24" s="552" t="s">
        <v>745</v>
      </c>
      <c r="G24" s="289">
        <v>1</v>
      </c>
      <c r="H24" s="266" t="s">
        <v>746</v>
      </c>
      <c r="I24" s="286" t="s">
        <v>747</v>
      </c>
      <c r="J24" s="61"/>
      <c r="K24" s="65">
        <v>0.25</v>
      </c>
      <c r="L24" s="357"/>
      <c r="M24" s="65">
        <v>0.5</v>
      </c>
      <c r="N24" s="357"/>
      <c r="O24" s="65">
        <v>0.75</v>
      </c>
      <c r="P24" s="357"/>
      <c r="Q24" s="65">
        <v>1</v>
      </c>
      <c r="R24" s="66">
        <v>0</v>
      </c>
      <c r="S24" s="61"/>
      <c r="T24" s="68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8"/>
      <c r="AL24" s="65"/>
      <c r="AM24" s="61"/>
      <c r="AN24" s="413" t="s">
        <v>989</v>
      </c>
      <c r="AO24" s="367" t="s">
        <v>988</v>
      </c>
      <c r="AP24" s="413" t="s">
        <v>987</v>
      </c>
      <c r="AQ24" s="61"/>
    </row>
    <row r="25" spans="1:43" ht="65.25" customHeight="1" thickBot="1" x14ac:dyDescent="0.3">
      <c r="A25" s="61"/>
      <c r="B25" s="61"/>
      <c r="C25" s="61"/>
      <c r="D25" s="888"/>
      <c r="E25" s="293" t="s">
        <v>748</v>
      </c>
      <c r="F25" s="553" t="s">
        <v>749</v>
      </c>
      <c r="G25" s="299">
        <v>20</v>
      </c>
      <c r="H25" s="278" t="s">
        <v>750</v>
      </c>
      <c r="I25" s="275" t="s">
        <v>751</v>
      </c>
      <c r="J25" s="61"/>
      <c r="K25" s="65">
        <v>0.25</v>
      </c>
      <c r="L25" s="357"/>
      <c r="M25" s="65">
        <v>0.5</v>
      </c>
      <c r="N25" s="357"/>
      <c r="O25" s="65">
        <v>0.75</v>
      </c>
      <c r="P25" s="357"/>
      <c r="Q25" s="65">
        <v>1</v>
      </c>
      <c r="R25" s="66"/>
      <c r="S25" s="61"/>
      <c r="T25" s="68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8"/>
      <c r="AL25" s="65"/>
      <c r="AM25" s="61"/>
      <c r="AN25" s="413" t="s">
        <v>989</v>
      </c>
      <c r="AO25" s="367" t="s">
        <v>988</v>
      </c>
      <c r="AP25" s="413" t="s">
        <v>987</v>
      </c>
      <c r="AQ25" s="61"/>
    </row>
    <row r="26" spans="1:43" ht="54.75" customHeight="1" thickBot="1" x14ac:dyDescent="0.3">
      <c r="A26" s="62"/>
      <c r="B26" s="62"/>
      <c r="C26" s="62"/>
      <c r="D26" s="888"/>
      <c r="E26" s="887" t="s">
        <v>752</v>
      </c>
      <c r="F26" s="370" t="s">
        <v>753</v>
      </c>
      <c r="G26" s="265">
        <v>2</v>
      </c>
      <c r="H26" s="286" t="s">
        <v>754</v>
      </c>
      <c r="I26" s="286" t="s">
        <v>755</v>
      </c>
      <c r="J26" s="63">
        <v>6</v>
      </c>
      <c r="K26" s="65">
        <v>0.5</v>
      </c>
      <c r="L26" s="357">
        <v>6</v>
      </c>
      <c r="M26" s="65">
        <v>1</v>
      </c>
      <c r="N26" s="357"/>
      <c r="O26" s="65">
        <v>0</v>
      </c>
      <c r="P26" s="357"/>
      <c r="Q26" s="65">
        <v>0</v>
      </c>
      <c r="R26" s="66">
        <v>12000</v>
      </c>
      <c r="S26" s="66"/>
      <c r="T26" s="68">
        <v>6000</v>
      </c>
      <c r="U26" s="65">
        <v>0.5</v>
      </c>
      <c r="V26" s="68">
        <v>6000</v>
      </c>
      <c r="W26" s="65">
        <v>0.5</v>
      </c>
      <c r="X26" s="65"/>
      <c r="Y26" s="68"/>
      <c r="Z26" s="65"/>
      <c r="AA26" s="68"/>
      <c r="AB26" s="429">
        <v>12000</v>
      </c>
      <c r="AC26" s="68"/>
      <c r="AD26" s="65"/>
      <c r="AE26" s="68"/>
      <c r="AF26" s="65"/>
      <c r="AG26" s="63"/>
      <c r="AH26" s="63"/>
      <c r="AI26" s="63"/>
      <c r="AJ26" s="71"/>
      <c r="AK26" s="68"/>
      <c r="AL26" s="65"/>
      <c r="AM26" s="63"/>
      <c r="AN26" s="413" t="s">
        <v>989</v>
      </c>
      <c r="AO26" s="367" t="s">
        <v>988</v>
      </c>
      <c r="AP26" s="413" t="s">
        <v>987</v>
      </c>
      <c r="AQ26" s="62"/>
    </row>
    <row r="27" spans="1:43" ht="63.75" customHeight="1" thickBot="1" x14ac:dyDescent="0.3">
      <c r="A27" s="62"/>
      <c r="B27" s="62"/>
      <c r="C27" s="62"/>
      <c r="D27" s="930"/>
      <c r="E27" s="930"/>
      <c r="F27" s="370" t="s">
        <v>756</v>
      </c>
      <c r="G27" s="300">
        <v>0</v>
      </c>
      <c r="H27" s="266" t="s">
        <v>757</v>
      </c>
      <c r="I27" s="266" t="s">
        <v>758</v>
      </c>
      <c r="J27" s="63"/>
      <c r="K27" s="65">
        <v>0</v>
      </c>
      <c r="L27" s="357"/>
      <c r="M27" s="65">
        <v>0.4</v>
      </c>
      <c r="N27" s="357"/>
      <c r="O27" s="65">
        <v>0.7</v>
      </c>
      <c r="P27" s="357"/>
      <c r="Q27" s="65">
        <v>1</v>
      </c>
      <c r="R27" s="66">
        <v>128000</v>
      </c>
      <c r="S27" s="66"/>
      <c r="T27" s="68"/>
      <c r="U27" s="65">
        <v>0</v>
      </c>
      <c r="V27" s="65"/>
      <c r="W27" s="68"/>
      <c r="X27" s="65"/>
      <c r="Y27" s="68"/>
      <c r="Z27" s="65"/>
      <c r="AA27" s="68"/>
      <c r="AB27" s="65"/>
      <c r="AC27" s="68"/>
      <c r="AD27" s="65"/>
      <c r="AE27" s="68"/>
      <c r="AF27" s="65"/>
      <c r="AG27" s="63"/>
      <c r="AH27" s="63"/>
      <c r="AI27" s="63"/>
      <c r="AJ27" s="69"/>
      <c r="AK27" s="68"/>
      <c r="AL27" s="65"/>
      <c r="AM27" s="63"/>
      <c r="AN27" s="413" t="s">
        <v>989</v>
      </c>
      <c r="AO27" s="367" t="s">
        <v>988</v>
      </c>
      <c r="AP27" s="413" t="s">
        <v>987</v>
      </c>
      <c r="AQ27" s="62"/>
    </row>
    <row r="28" spans="1:43" ht="67.5" customHeight="1" thickBot="1" x14ac:dyDescent="0.3">
      <c r="A28" s="61"/>
      <c r="B28" s="61"/>
      <c r="C28" s="61"/>
      <c r="D28" s="955" t="s">
        <v>743</v>
      </c>
      <c r="E28" s="955" t="s">
        <v>752</v>
      </c>
      <c r="F28" s="370" t="s">
        <v>759</v>
      </c>
      <c r="G28" s="300">
        <v>2</v>
      </c>
      <c r="H28" s="266" t="s">
        <v>760</v>
      </c>
      <c r="I28" s="286" t="s">
        <v>761</v>
      </c>
      <c r="J28" s="61"/>
      <c r="K28" s="65">
        <v>0</v>
      </c>
      <c r="L28" s="357"/>
      <c r="M28" s="65">
        <v>0.4</v>
      </c>
      <c r="N28" s="357"/>
      <c r="O28" s="65">
        <v>0.7</v>
      </c>
      <c r="P28" s="357"/>
      <c r="Q28" s="65">
        <v>1</v>
      </c>
      <c r="R28" s="66">
        <v>100000</v>
      </c>
      <c r="S28" s="61"/>
      <c r="T28" s="68"/>
      <c r="U28" s="65">
        <v>0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8"/>
      <c r="AL28" s="65"/>
      <c r="AM28" s="61"/>
      <c r="AN28" s="413" t="s">
        <v>989</v>
      </c>
      <c r="AO28" s="367" t="s">
        <v>988</v>
      </c>
      <c r="AP28" s="413" t="s">
        <v>987</v>
      </c>
      <c r="AQ28" s="61"/>
    </row>
    <row r="29" spans="1:43" ht="72.75" customHeight="1" thickBot="1" x14ac:dyDescent="0.3">
      <c r="A29" s="61"/>
      <c r="B29" s="61"/>
      <c r="C29" s="61"/>
      <c r="D29" s="888"/>
      <c r="E29" s="888"/>
      <c r="F29" s="370" t="s">
        <v>762</v>
      </c>
      <c r="G29" s="300">
        <v>0</v>
      </c>
      <c r="H29" s="266" t="s">
        <v>763</v>
      </c>
      <c r="I29" s="266" t="s">
        <v>764</v>
      </c>
      <c r="J29" s="61">
        <v>20</v>
      </c>
      <c r="K29" s="65">
        <v>0.25</v>
      </c>
      <c r="L29" s="357">
        <v>20</v>
      </c>
      <c r="M29" s="65">
        <v>0.5</v>
      </c>
      <c r="N29" s="357">
        <v>20</v>
      </c>
      <c r="O29" s="65">
        <v>0.75</v>
      </c>
      <c r="P29" s="357">
        <v>20</v>
      </c>
      <c r="Q29" s="65">
        <v>1</v>
      </c>
      <c r="R29" s="66">
        <v>20000</v>
      </c>
      <c r="S29" s="61"/>
      <c r="T29" s="68">
        <v>5000</v>
      </c>
      <c r="U29" s="65">
        <v>0.25</v>
      </c>
      <c r="V29" s="68">
        <v>5000</v>
      </c>
      <c r="W29" s="65">
        <v>0.25</v>
      </c>
      <c r="X29" s="68">
        <v>5000</v>
      </c>
      <c r="Y29" s="65">
        <v>0.25</v>
      </c>
      <c r="Z29" s="68">
        <v>5000</v>
      </c>
      <c r="AA29" s="65">
        <v>0.25</v>
      </c>
      <c r="AB29" s="61"/>
      <c r="AC29" s="61"/>
      <c r="AD29" s="61"/>
      <c r="AE29" s="61"/>
      <c r="AF29" s="61"/>
      <c r="AG29" s="61"/>
      <c r="AH29" s="61"/>
      <c r="AI29" s="61"/>
      <c r="AJ29" s="61"/>
      <c r="AK29" s="68"/>
      <c r="AL29" s="65"/>
      <c r="AM29" s="61"/>
      <c r="AN29" s="413" t="s">
        <v>989</v>
      </c>
      <c r="AO29" s="367" t="s">
        <v>988</v>
      </c>
      <c r="AP29" s="413" t="s">
        <v>987</v>
      </c>
      <c r="AQ29" s="61"/>
    </row>
    <row r="30" spans="1:43" ht="67.5" customHeight="1" thickBot="1" x14ac:dyDescent="0.3">
      <c r="A30" s="61"/>
      <c r="B30" s="61"/>
      <c r="C30" s="61"/>
      <c r="D30" s="930"/>
      <c r="E30" s="930"/>
      <c r="F30" s="370" t="s">
        <v>765</v>
      </c>
      <c r="G30" s="300">
        <v>0</v>
      </c>
      <c r="H30" s="266" t="s">
        <v>766</v>
      </c>
      <c r="I30" s="266" t="s">
        <v>767</v>
      </c>
      <c r="J30" s="61">
        <v>10</v>
      </c>
      <c r="K30" s="65">
        <v>0.25</v>
      </c>
      <c r="L30" s="357">
        <v>10</v>
      </c>
      <c r="M30" s="65">
        <v>0.5</v>
      </c>
      <c r="N30" s="357">
        <v>10</v>
      </c>
      <c r="O30" s="65">
        <v>0.75</v>
      </c>
      <c r="P30" s="357">
        <v>10</v>
      </c>
      <c r="Q30" s="65">
        <v>1</v>
      </c>
      <c r="R30" s="66">
        <v>2000</v>
      </c>
      <c r="S30" s="61"/>
      <c r="T30" s="68">
        <v>500</v>
      </c>
      <c r="U30" s="65">
        <v>0.25</v>
      </c>
      <c r="V30" s="68">
        <v>500</v>
      </c>
      <c r="W30" s="65">
        <v>0.25</v>
      </c>
      <c r="X30" s="68">
        <v>500</v>
      </c>
      <c r="Y30" s="65">
        <v>0.25</v>
      </c>
      <c r="Z30" s="68">
        <v>500</v>
      </c>
      <c r="AA30" s="65">
        <v>0.25</v>
      </c>
      <c r="AB30" s="61"/>
      <c r="AC30" s="61"/>
      <c r="AD30" s="61"/>
      <c r="AE30" s="61"/>
      <c r="AF30" s="61"/>
      <c r="AG30" s="61"/>
      <c r="AH30" s="61"/>
      <c r="AI30" s="61"/>
      <c r="AJ30" s="61"/>
      <c r="AK30" s="68"/>
      <c r="AL30" s="65"/>
      <c r="AM30" s="61"/>
      <c r="AN30" s="413" t="s">
        <v>989</v>
      </c>
      <c r="AO30" s="367" t="s">
        <v>988</v>
      </c>
      <c r="AP30" s="413" t="s">
        <v>987</v>
      </c>
      <c r="AQ30" s="61"/>
    </row>
    <row r="31" spans="1:43" ht="52.5" customHeight="1" thickBot="1" x14ac:dyDescent="0.3">
      <c r="A31" s="61"/>
      <c r="B31" s="61"/>
      <c r="C31" s="61"/>
      <c r="D31" s="955" t="s">
        <v>743</v>
      </c>
      <c r="E31" s="955" t="s">
        <v>768</v>
      </c>
      <c r="F31" s="370" t="s">
        <v>769</v>
      </c>
      <c r="G31" s="300">
        <v>6</v>
      </c>
      <c r="H31" s="266" t="s">
        <v>770</v>
      </c>
      <c r="I31" s="286" t="s">
        <v>771</v>
      </c>
      <c r="J31" s="61"/>
      <c r="K31" s="65">
        <v>0</v>
      </c>
      <c r="L31" s="357">
        <v>18</v>
      </c>
      <c r="M31" s="65">
        <v>1</v>
      </c>
      <c r="N31" s="357"/>
      <c r="O31" s="65"/>
      <c r="P31" s="357"/>
      <c r="Q31" s="65"/>
      <c r="R31" s="66">
        <v>500000</v>
      </c>
      <c r="S31" s="61"/>
      <c r="T31" s="68"/>
      <c r="U31" s="65">
        <v>0</v>
      </c>
      <c r="V31" s="68">
        <v>500000</v>
      </c>
      <c r="W31" s="65">
        <v>1</v>
      </c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8"/>
      <c r="AL31" s="65"/>
      <c r="AM31" s="61"/>
      <c r="AN31" s="413" t="s">
        <v>989</v>
      </c>
      <c r="AO31" s="367" t="s">
        <v>988</v>
      </c>
      <c r="AP31" s="413" t="s">
        <v>987</v>
      </c>
      <c r="AQ31" s="61"/>
    </row>
    <row r="32" spans="1:43" ht="52.5" customHeight="1" thickBot="1" x14ac:dyDescent="0.3">
      <c r="A32" s="62"/>
      <c r="B32" s="62"/>
      <c r="C32" s="62"/>
      <c r="D32" s="888"/>
      <c r="E32" s="888"/>
      <c r="F32" s="370" t="s">
        <v>772</v>
      </c>
      <c r="G32" s="370">
        <v>0</v>
      </c>
      <c r="H32" s="370" t="s">
        <v>773</v>
      </c>
      <c r="I32" s="370" t="s">
        <v>774</v>
      </c>
      <c r="J32" s="63">
        <v>1</v>
      </c>
      <c r="K32" s="65">
        <v>0.25</v>
      </c>
      <c r="L32" s="357">
        <v>1</v>
      </c>
      <c r="M32" s="65">
        <v>0.5</v>
      </c>
      <c r="N32" s="357">
        <v>1</v>
      </c>
      <c r="O32" s="65">
        <v>0.75</v>
      </c>
      <c r="P32" s="357">
        <v>1</v>
      </c>
      <c r="Q32" s="65">
        <v>1</v>
      </c>
      <c r="R32" s="66">
        <v>8000</v>
      </c>
      <c r="S32" s="66"/>
      <c r="T32" s="68">
        <v>2000</v>
      </c>
      <c r="U32" s="65">
        <v>0.25</v>
      </c>
      <c r="V32" s="68">
        <v>2000</v>
      </c>
      <c r="W32" s="65">
        <v>0.25</v>
      </c>
      <c r="X32" s="68">
        <v>2000</v>
      </c>
      <c r="Y32" s="65">
        <v>0.25</v>
      </c>
      <c r="Z32" s="68">
        <v>2000</v>
      </c>
      <c r="AA32" s="65">
        <v>0.25</v>
      </c>
      <c r="AB32" s="65"/>
      <c r="AC32" s="68"/>
      <c r="AD32" s="65"/>
      <c r="AE32" s="68"/>
      <c r="AF32" s="65"/>
      <c r="AG32" s="63"/>
      <c r="AH32" s="63"/>
      <c r="AI32" s="63"/>
      <c r="AJ32" s="71"/>
      <c r="AK32" s="68"/>
      <c r="AL32" s="65"/>
      <c r="AM32" s="63"/>
      <c r="AN32" s="413" t="s">
        <v>989</v>
      </c>
      <c r="AO32" s="367" t="s">
        <v>988</v>
      </c>
      <c r="AP32" s="413" t="s">
        <v>987</v>
      </c>
      <c r="AQ32" s="62"/>
    </row>
    <row r="33" spans="1:43" ht="42.75" customHeight="1" thickBot="1" x14ac:dyDescent="0.3">
      <c r="A33" s="62"/>
      <c r="B33" s="62"/>
      <c r="C33" s="62"/>
      <c r="D33" s="888"/>
      <c r="E33" s="888"/>
      <c r="F33" s="370" t="s">
        <v>775</v>
      </c>
      <c r="G33" s="300">
        <v>5</v>
      </c>
      <c r="H33" s="266" t="s">
        <v>776</v>
      </c>
      <c r="I33" s="266" t="s">
        <v>777</v>
      </c>
      <c r="J33" s="63"/>
      <c r="K33" s="65">
        <v>0</v>
      </c>
      <c r="L33" s="357">
        <v>4</v>
      </c>
      <c r="M33" s="65">
        <v>0.6</v>
      </c>
      <c r="N33" s="357">
        <v>3</v>
      </c>
      <c r="O33" s="65">
        <v>0.4</v>
      </c>
      <c r="P33" s="357"/>
      <c r="Q33" s="65"/>
      <c r="R33" s="66">
        <v>105000</v>
      </c>
      <c r="S33" s="66"/>
      <c r="T33" s="68"/>
      <c r="U33" s="65"/>
      <c r="V33" s="68">
        <v>63000</v>
      </c>
      <c r="W33" s="65">
        <v>0.6</v>
      </c>
      <c r="X33" s="68">
        <v>42000</v>
      </c>
      <c r="Y33" s="65">
        <v>0.4</v>
      </c>
      <c r="Z33" s="65"/>
      <c r="AA33" s="68"/>
      <c r="AB33" s="65"/>
      <c r="AC33" s="68"/>
      <c r="AD33" s="65"/>
      <c r="AE33" s="68"/>
      <c r="AF33" s="65"/>
      <c r="AG33" s="63"/>
      <c r="AH33" s="63"/>
      <c r="AI33" s="63"/>
      <c r="AJ33" s="69"/>
      <c r="AK33" s="68"/>
      <c r="AL33" s="65"/>
      <c r="AM33" s="63"/>
      <c r="AN33" s="413" t="s">
        <v>989</v>
      </c>
      <c r="AO33" s="367" t="s">
        <v>988</v>
      </c>
      <c r="AP33" s="413" t="s">
        <v>987</v>
      </c>
      <c r="AQ33" s="62"/>
    </row>
    <row r="34" spans="1:43" ht="59.25" customHeight="1" thickBot="1" x14ac:dyDescent="0.3">
      <c r="A34" s="61"/>
      <c r="B34" s="61"/>
      <c r="C34" s="61"/>
      <c r="D34" s="888"/>
      <c r="E34" s="888"/>
      <c r="F34" s="370" t="s">
        <v>778</v>
      </c>
      <c r="G34" s="299" t="s">
        <v>779</v>
      </c>
      <c r="H34" s="266" t="s">
        <v>780</v>
      </c>
      <c r="I34" s="275" t="s">
        <v>781</v>
      </c>
      <c r="J34" s="61">
        <v>7</v>
      </c>
      <c r="K34" s="65">
        <v>0.25</v>
      </c>
      <c r="L34" s="357">
        <v>7</v>
      </c>
      <c r="M34" s="65">
        <v>0.5</v>
      </c>
      <c r="N34" s="357">
        <v>7</v>
      </c>
      <c r="O34" s="65">
        <v>0.75</v>
      </c>
      <c r="P34" s="357">
        <v>7</v>
      </c>
      <c r="Q34" s="65">
        <v>1</v>
      </c>
      <c r="R34" s="66">
        <v>160000</v>
      </c>
      <c r="S34" s="61"/>
      <c r="T34" s="68"/>
      <c r="U34" s="65">
        <v>0.25</v>
      </c>
      <c r="V34" s="61"/>
      <c r="W34" s="65">
        <v>0.25</v>
      </c>
      <c r="X34" s="61"/>
      <c r="Y34" s="65">
        <v>0.25</v>
      </c>
      <c r="Z34" s="61"/>
      <c r="AA34" s="65">
        <v>0.25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8"/>
      <c r="AL34" s="65"/>
      <c r="AM34" s="61"/>
      <c r="AN34" s="413" t="s">
        <v>989</v>
      </c>
      <c r="AO34" s="367" t="s">
        <v>988</v>
      </c>
      <c r="AP34" s="413" t="s">
        <v>987</v>
      </c>
      <c r="AQ34" s="61"/>
    </row>
    <row r="35" spans="1:43" ht="51.75" customHeight="1" thickBot="1" x14ac:dyDescent="0.3">
      <c r="A35" s="61"/>
      <c r="B35" s="61"/>
      <c r="C35" s="61"/>
      <c r="D35" s="888"/>
      <c r="E35" s="888"/>
      <c r="F35" s="370" t="s">
        <v>782</v>
      </c>
      <c r="G35" s="265">
        <v>0</v>
      </c>
      <c r="H35" s="266" t="s">
        <v>783</v>
      </c>
      <c r="I35" s="286" t="s">
        <v>784</v>
      </c>
      <c r="J35" s="61">
        <v>1</v>
      </c>
      <c r="K35" s="65">
        <v>0.25</v>
      </c>
      <c r="L35" s="357">
        <v>1</v>
      </c>
      <c r="M35" s="65">
        <v>0.5</v>
      </c>
      <c r="N35" s="357">
        <v>1</v>
      </c>
      <c r="O35" s="65">
        <v>0.75</v>
      </c>
      <c r="P35" s="357">
        <v>1</v>
      </c>
      <c r="Q35" s="65">
        <v>1</v>
      </c>
      <c r="R35" s="66">
        <v>250000</v>
      </c>
      <c r="S35" s="61"/>
      <c r="T35" s="68"/>
      <c r="U35" s="65">
        <v>0.25</v>
      </c>
      <c r="V35" s="61"/>
      <c r="W35" s="65">
        <v>0.25</v>
      </c>
      <c r="X35" s="61"/>
      <c r="Y35" s="65">
        <v>0.25</v>
      </c>
      <c r="Z35" s="61"/>
      <c r="AA35" s="65">
        <v>0.25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8"/>
      <c r="AL35" s="65"/>
      <c r="AM35" s="61"/>
      <c r="AN35" s="413" t="s">
        <v>989</v>
      </c>
      <c r="AO35" s="367" t="s">
        <v>988</v>
      </c>
      <c r="AP35" s="413" t="s">
        <v>987</v>
      </c>
      <c r="AQ35" s="61"/>
    </row>
    <row r="36" spans="1:43" ht="60" customHeight="1" thickBot="1" x14ac:dyDescent="0.3">
      <c r="A36" s="61"/>
      <c r="B36" s="61"/>
      <c r="C36" s="61"/>
      <c r="D36" s="290"/>
      <c r="E36" s="930"/>
      <c r="F36" s="370" t="s">
        <v>785</v>
      </c>
      <c r="G36" s="300">
        <v>0</v>
      </c>
      <c r="H36" s="266" t="s">
        <v>786</v>
      </c>
      <c r="I36" s="266" t="s">
        <v>787</v>
      </c>
      <c r="J36" s="357">
        <v>2</v>
      </c>
      <c r="K36" s="65">
        <v>0.25</v>
      </c>
      <c r="L36" s="357">
        <v>2</v>
      </c>
      <c r="M36" s="65">
        <v>0.5</v>
      </c>
      <c r="N36" s="357">
        <v>2</v>
      </c>
      <c r="O36" s="65">
        <v>0.75</v>
      </c>
      <c r="P36" s="357">
        <v>2</v>
      </c>
      <c r="Q36" s="65">
        <v>1</v>
      </c>
      <c r="R36" s="66"/>
      <c r="S36" s="61"/>
      <c r="T36" s="68"/>
      <c r="U36" s="65">
        <v>0.25</v>
      </c>
      <c r="V36" s="61"/>
      <c r="W36" s="65">
        <v>0.25</v>
      </c>
      <c r="X36" s="61"/>
      <c r="Y36" s="65">
        <v>0.25</v>
      </c>
      <c r="Z36" s="61"/>
      <c r="AA36" s="65">
        <v>0.25</v>
      </c>
      <c r="AB36" s="61"/>
      <c r="AC36" s="61"/>
      <c r="AD36" s="61"/>
      <c r="AE36" s="61"/>
      <c r="AF36" s="61"/>
      <c r="AG36" s="61"/>
      <c r="AH36" s="61"/>
      <c r="AI36" s="61"/>
      <c r="AJ36" s="61"/>
      <c r="AK36" s="68"/>
      <c r="AL36" s="65"/>
      <c r="AM36" s="61"/>
      <c r="AN36" s="413" t="s">
        <v>989</v>
      </c>
      <c r="AO36" s="367" t="s">
        <v>988</v>
      </c>
      <c r="AP36" s="413" t="s">
        <v>987</v>
      </c>
      <c r="AQ36" s="61"/>
    </row>
    <row r="37" spans="1:43" ht="36.75" customHeight="1" thickBot="1" x14ac:dyDescent="0.3">
      <c r="A37" s="61"/>
      <c r="B37" s="61"/>
      <c r="C37" s="61"/>
      <c r="D37" s="61"/>
      <c r="E37" s="61"/>
      <c r="F37" s="370" t="s">
        <v>990</v>
      </c>
      <c r="G37" s="189">
        <v>1</v>
      </c>
      <c r="H37" s="266" t="s">
        <v>991</v>
      </c>
      <c r="I37" s="266" t="s">
        <v>992</v>
      </c>
      <c r="J37" s="357">
        <v>1</v>
      </c>
      <c r="K37" s="65">
        <v>0</v>
      </c>
      <c r="L37" s="357">
        <v>1</v>
      </c>
      <c r="M37" s="65">
        <v>1</v>
      </c>
      <c r="N37" s="357"/>
      <c r="O37" s="65"/>
      <c r="P37" s="357"/>
      <c r="Q37" s="65"/>
      <c r="R37" s="66">
        <v>450000</v>
      </c>
      <c r="S37" s="61"/>
      <c r="T37" s="68"/>
      <c r="U37" s="65">
        <v>0</v>
      </c>
      <c r="V37" s="68">
        <v>450000</v>
      </c>
      <c r="W37" s="65">
        <v>1</v>
      </c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8"/>
      <c r="AL37" s="65"/>
      <c r="AM37" s="61"/>
      <c r="AN37" s="61" t="s">
        <v>989</v>
      </c>
      <c r="AO37" s="367" t="s">
        <v>988</v>
      </c>
      <c r="AP37" s="413" t="s">
        <v>987</v>
      </c>
      <c r="AQ37" s="61"/>
    </row>
    <row r="38" spans="1:43" ht="45.6" customHeight="1" x14ac:dyDescent="0.25">
      <c r="A38" s="62"/>
      <c r="B38" s="62"/>
      <c r="C38" s="62"/>
      <c r="D38" s="62"/>
      <c r="E38" s="62"/>
      <c r="F38" s="430" t="s">
        <v>993</v>
      </c>
      <c r="G38" s="63"/>
      <c r="H38" s="63"/>
      <c r="I38" s="63"/>
      <c r="J38" s="63"/>
      <c r="K38" s="64"/>
      <c r="L38" s="357"/>
      <c r="M38" s="64"/>
      <c r="N38" s="357"/>
      <c r="O38" s="64"/>
      <c r="P38" s="357"/>
      <c r="Q38" s="64"/>
      <c r="R38" s="66">
        <v>10000</v>
      </c>
      <c r="S38" s="66"/>
      <c r="T38" s="68"/>
      <c r="U38" s="65"/>
      <c r="V38" s="65"/>
      <c r="W38" s="68"/>
      <c r="X38" s="65"/>
      <c r="Y38" s="68"/>
      <c r="Z38" s="65"/>
      <c r="AA38" s="68"/>
      <c r="AB38" s="65"/>
      <c r="AC38" s="68"/>
      <c r="AD38" s="65"/>
      <c r="AE38" s="68"/>
      <c r="AF38" s="65"/>
      <c r="AG38" s="63"/>
      <c r="AH38" s="63"/>
      <c r="AI38" s="63"/>
      <c r="AJ38" s="69"/>
      <c r="AK38" s="68"/>
      <c r="AL38" s="65"/>
      <c r="AM38" s="63"/>
      <c r="AN38" s="63"/>
      <c r="AO38" s="62"/>
      <c r="AP38" s="62"/>
      <c r="AQ38" s="62"/>
    </row>
    <row r="39" spans="1:43" ht="63.6" customHeight="1" x14ac:dyDescent="0.25">
      <c r="A39" s="61"/>
      <c r="B39" s="61"/>
      <c r="C39" s="61"/>
      <c r="D39" s="61"/>
      <c r="E39" s="61"/>
      <c r="F39" s="430" t="s">
        <v>994</v>
      </c>
      <c r="G39" s="61"/>
      <c r="H39" s="61"/>
      <c r="I39" s="61"/>
      <c r="J39" s="61"/>
      <c r="K39" s="61"/>
      <c r="L39" s="357"/>
      <c r="M39" s="61"/>
      <c r="N39" s="357"/>
      <c r="O39" s="61"/>
      <c r="P39" s="357"/>
      <c r="Q39" s="61"/>
      <c r="R39" s="66">
        <v>120000</v>
      </c>
      <c r="S39" s="61"/>
      <c r="T39" s="68"/>
      <c r="U39" s="65">
        <v>0.25</v>
      </c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8"/>
      <c r="AL39" s="65"/>
      <c r="AM39" s="61"/>
      <c r="AN39" s="61"/>
      <c r="AO39" s="61"/>
      <c r="AP39" s="61"/>
      <c r="AQ39" s="61"/>
    </row>
    <row r="40" spans="1:43" ht="37.15" customHeight="1" x14ac:dyDescent="0.25">
      <c r="A40" s="61"/>
      <c r="B40" s="61"/>
      <c r="C40" s="61"/>
      <c r="D40" s="61"/>
      <c r="E40" s="61"/>
      <c r="F40" s="430" t="s">
        <v>995</v>
      </c>
      <c r="G40" s="61"/>
      <c r="H40" s="61"/>
      <c r="I40" s="61"/>
      <c r="J40" s="61"/>
      <c r="K40" s="61"/>
      <c r="L40" s="357"/>
      <c r="M40" s="61"/>
      <c r="N40" s="357"/>
      <c r="O40" s="61"/>
      <c r="P40" s="357"/>
      <c r="Q40" s="61"/>
      <c r="R40" s="66">
        <v>320000</v>
      </c>
      <c r="S40" s="61"/>
      <c r="T40" s="68"/>
      <c r="U40" s="65">
        <v>0.25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8"/>
      <c r="AL40" s="65"/>
      <c r="AM40" s="61"/>
      <c r="AN40" s="61"/>
      <c r="AO40" s="61"/>
      <c r="AP40" s="61"/>
      <c r="AQ40" s="61"/>
    </row>
    <row r="41" spans="1:43" ht="26.25" customHeight="1" x14ac:dyDescent="0.25">
      <c r="A41" s="61"/>
      <c r="B41" s="61"/>
      <c r="C41" s="61"/>
      <c r="D41" s="61"/>
      <c r="E41" s="61"/>
      <c r="F41" s="367"/>
      <c r="G41" s="61"/>
      <c r="H41" s="61"/>
      <c r="I41" s="61"/>
      <c r="J41" s="61"/>
      <c r="K41" s="61"/>
      <c r="L41" s="357"/>
      <c r="M41" s="61"/>
      <c r="N41" s="357"/>
      <c r="O41" s="61"/>
      <c r="P41" s="61"/>
      <c r="Q41" s="61"/>
      <c r="R41" s="66"/>
      <c r="S41" s="61"/>
      <c r="T41" s="68"/>
      <c r="U41" s="65">
        <v>0.25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8"/>
      <c r="AL41" s="65"/>
      <c r="AM41" s="61"/>
      <c r="AN41" s="61"/>
      <c r="AO41" s="61"/>
      <c r="AP41" s="61"/>
      <c r="AQ41" s="61"/>
    </row>
    <row r="42" spans="1:43" ht="13.5" customHeight="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357"/>
      <c r="M42" s="61"/>
      <c r="N42" s="357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8"/>
      <c r="AL42" s="65"/>
      <c r="AM42" s="61"/>
      <c r="AN42" s="61"/>
      <c r="AO42" s="61"/>
      <c r="AP42" s="61"/>
      <c r="AQ42" s="61"/>
    </row>
    <row r="43" spans="1:43" ht="21.75" customHeight="1" x14ac:dyDescent="0.25"/>
    <row r="44" spans="1:43" ht="15.75" customHeight="1" x14ac:dyDescent="0.25"/>
    <row r="45" spans="1:43" ht="19.5" customHeight="1" x14ac:dyDescent="0.25"/>
    <row r="46" spans="1:43" ht="18.75" customHeight="1" x14ac:dyDescent="0.25"/>
    <row r="47" spans="1:43" ht="15.75" customHeight="1" x14ac:dyDescent="0.25"/>
    <row r="48" spans="1:43" ht="15.75" customHeight="1" x14ac:dyDescent="0.25"/>
    <row r="49" ht="17.25" customHeight="1" x14ac:dyDescent="0.25"/>
    <row r="50" ht="15" customHeight="1" x14ac:dyDescent="0.25"/>
    <row r="51" ht="13.5" customHeight="1" x14ac:dyDescent="0.25"/>
    <row r="53" ht="18" customHeight="1" x14ac:dyDescent="0.25"/>
    <row r="54" ht="17.25" customHeight="1" x14ac:dyDescent="0.25"/>
    <row r="61" ht="14.25" customHeight="1" x14ac:dyDescent="0.25"/>
    <row r="62" ht="13.5" customHeight="1" x14ac:dyDescent="0.25"/>
    <row r="63" ht="15" customHeight="1" x14ac:dyDescent="0.25"/>
    <row r="64" ht="11.25" customHeight="1" x14ac:dyDescent="0.25"/>
    <row r="65" ht="15.75" customHeight="1" x14ac:dyDescent="0.25"/>
    <row r="66" ht="18" customHeight="1" x14ac:dyDescent="0.25"/>
    <row r="67" ht="18" customHeight="1" x14ac:dyDescent="0.25"/>
    <row r="68" ht="24" customHeight="1" x14ac:dyDescent="0.25"/>
    <row r="69" ht="15" customHeight="1" x14ac:dyDescent="0.25"/>
    <row r="73" ht="17.25" customHeight="1" x14ac:dyDescent="0.25"/>
    <row r="74" ht="45" customHeight="1" x14ac:dyDescent="0.25"/>
    <row r="75" ht="135" customHeight="1" x14ac:dyDescent="0.25"/>
    <row r="77" ht="45" customHeight="1" x14ac:dyDescent="0.25"/>
    <row r="78" ht="45" customHeight="1" x14ac:dyDescent="0.25"/>
    <row r="79" ht="17.25" customHeight="1" x14ac:dyDescent="0.25"/>
    <row r="80" ht="3" customHeight="1" x14ac:dyDescent="0.25"/>
  </sheetData>
  <mergeCells count="47">
    <mergeCell ref="D28:D30"/>
    <mergeCell ref="E28:E30"/>
    <mergeCell ref="D31:D35"/>
    <mergeCell ref="E31:E36"/>
    <mergeCell ref="I9:I10"/>
    <mergeCell ref="G9:G10"/>
    <mergeCell ref="D20:D23"/>
    <mergeCell ref="E20:E22"/>
    <mergeCell ref="D24:D27"/>
    <mergeCell ref="E26:E27"/>
    <mergeCell ref="F9:F10"/>
    <mergeCell ref="D15:D19"/>
    <mergeCell ref="E15:E16"/>
    <mergeCell ref="E17:E19"/>
    <mergeCell ref="D4:D5"/>
    <mergeCell ref="D7:D8"/>
    <mergeCell ref="E7:E8"/>
    <mergeCell ref="D9:D14"/>
    <mergeCell ref="E9:E14"/>
    <mergeCell ref="A1:A3"/>
    <mergeCell ref="B1:B3"/>
    <mergeCell ref="C1:C3"/>
    <mergeCell ref="D1:D3"/>
    <mergeCell ref="E1:E3"/>
    <mergeCell ref="T1:AA1"/>
    <mergeCell ref="AB1:AM1"/>
    <mergeCell ref="F1:F3"/>
    <mergeCell ref="G1:G3"/>
    <mergeCell ref="H1:H3"/>
    <mergeCell ref="I1:I3"/>
    <mergeCell ref="K1:Q1"/>
    <mergeCell ref="AN1:AP2"/>
    <mergeCell ref="J2:K2"/>
    <mergeCell ref="L2:M2"/>
    <mergeCell ref="N2:O2"/>
    <mergeCell ref="P2:Q2"/>
    <mergeCell ref="T2:U2"/>
    <mergeCell ref="V2:W2"/>
    <mergeCell ref="R1:R3"/>
    <mergeCell ref="AK2:AM2"/>
    <mergeCell ref="X2:Y2"/>
    <mergeCell ref="Z2:AA2"/>
    <mergeCell ref="AB2:AC2"/>
    <mergeCell ref="AD2:AF2"/>
    <mergeCell ref="AG2:AH2"/>
    <mergeCell ref="AI2:AJ2"/>
    <mergeCell ref="S1: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topLeftCell="E1" workbookViewId="0">
      <selection activeCell="H18" sqref="H18"/>
    </sheetView>
  </sheetViews>
  <sheetFormatPr baseColWidth="10" defaultRowHeight="15" x14ac:dyDescent="0.25"/>
  <cols>
    <col min="1" max="1" width="15.7109375" style="53" customWidth="1"/>
    <col min="2" max="2" width="11.42578125" style="53" customWidth="1"/>
    <col min="3" max="3" width="19.7109375" style="53" customWidth="1"/>
    <col min="4" max="4" width="19.85546875" style="53" customWidth="1"/>
    <col min="5" max="5" width="22" style="53" customWidth="1"/>
    <col min="6" max="6" width="25.7109375" style="53" customWidth="1"/>
    <col min="7" max="7" width="11.42578125" style="53" customWidth="1"/>
    <col min="8" max="8" width="41.5703125" style="53" customWidth="1"/>
    <col min="9" max="9" width="32.85546875" style="53" customWidth="1"/>
    <col min="10" max="10" width="11.5703125" style="53" bestFit="1" customWidth="1"/>
    <col min="11" max="11" width="11.5703125" style="464" bestFit="1" customWidth="1"/>
    <col min="12" max="12" width="11.5703125" style="465" bestFit="1" customWidth="1"/>
    <col min="13" max="13" width="11.5703125" style="464" bestFit="1" customWidth="1"/>
    <col min="14" max="14" width="11.5703125" style="465" bestFit="1" customWidth="1"/>
    <col min="15" max="15" width="11.5703125" style="464" bestFit="1" customWidth="1"/>
    <col min="16" max="17" width="11.5703125" style="53" bestFit="1" customWidth="1"/>
    <col min="18" max="18" width="16.140625" style="53" customWidth="1"/>
    <col min="19" max="19" width="11.42578125" style="53"/>
    <col min="20" max="20" width="18" style="466" customWidth="1"/>
    <col min="21" max="21" width="11.5703125" style="53" bestFit="1" customWidth="1"/>
    <col min="22" max="22" width="13.5703125" style="53" bestFit="1" customWidth="1"/>
    <col min="23" max="23" width="11.5703125" style="53" bestFit="1" customWidth="1"/>
    <col min="24" max="24" width="13.7109375" style="53" customWidth="1"/>
    <col min="25" max="25" width="11.5703125" style="53" bestFit="1" customWidth="1"/>
    <col min="26" max="26" width="13.5703125" style="53" bestFit="1" customWidth="1"/>
    <col min="27" max="27" width="11.5703125" style="53" bestFit="1" customWidth="1"/>
    <col min="28" max="29" width="11.42578125" style="53"/>
    <col min="30" max="30" width="16.7109375" style="53" customWidth="1"/>
    <col min="31" max="31" width="11.5703125" style="53" bestFit="1" customWidth="1"/>
    <col min="32" max="39" width="11.42578125" style="53"/>
    <col min="40" max="40" width="23.5703125" style="53" customWidth="1"/>
    <col min="41" max="41" width="16.85546875" style="53" customWidth="1"/>
    <col min="42" max="42" width="17.85546875" style="53" customWidth="1"/>
    <col min="43" max="16384" width="11.42578125" style="53"/>
  </cols>
  <sheetData>
    <row r="1" spans="1:42" ht="15" customHeight="1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351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940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34.5" customHeight="1" x14ac:dyDescent="0.25">
      <c r="A3" s="941"/>
      <c r="B3" s="678"/>
      <c r="C3" s="678"/>
      <c r="D3" s="678"/>
      <c r="E3" s="678"/>
      <c r="F3" s="678"/>
      <c r="G3" s="678"/>
      <c r="H3" s="678"/>
      <c r="I3" s="680"/>
      <c r="J3" s="352" t="s">
        <v>21</v>
      </c>
      <c r="K3" s="431" t="s">
        <v>22</v>
      </c>
      <c r="L3" s="432" t="s">
        <v>21</v>
      </c>
      <c r="M3" s="431" t="s">
        <v>22</v>
      </c>
      <c r="N3" s="432" t="s">
        <v>21</v>
      </c>
      <c r="O3" s="431" t="s">
        <v>22</v>
      </c>
      <c r="P3" s="353" t="s">
        <v>21</v>
      </c>
      <c r="Q3" s="353" t="s">
        <v>22</v>
      </c>
      <c r="R3" s="669"/>
      <c r="S3" s="667"/>
      <c r="T3" s="433" t="s">
        <v>23</v>
      </c>
      <c r="U3" s="353" t="s">
        <v>22</v>
      </c>
      <c r="V3" s="353" t="s">
        <v>23</v>
      </c>
      <c r="W3" s="353" t="s">
        <v>22</v>
      </c>
      <c r="X3" s="353" t="s">
        <v>23</v>
      </c>
      <c r="Y3" s="353" t="s">
        <v>22</v>
      </c>
      <c r="Z3" s="353" t="s">
        <v>23</v>
      </c>
      <c r="AA3" s="354" t="s">
        <v>22</v>
      </c>
      <c r="AB3" s="352" t="s">
        <v>23</v>
      </c>
      <c r="AC3" s="353" t="s">
        <v>22</v>
      </c>
      <c r="AD3" s="353" t="s">
        <v>23</v>
      </c>
      <c r="AE3" s="353" t="s">
        <v>22</v>
      </c>
      <c r="AF3" s="353" t="s">
        <v>24</v>
      </c>
      <c r="AG3" s="353" t="s">
        <v>23</v>
      </c>
      <c r="AH3" s="353" t="s">
        <v>22</v>
      </c>
      <c r="AI3" s="59" t="s">
        <v>23</v>
      </c>
      <c r="AJ3" s="59" t="s">
        <v>22</v>
      </c>
      <c r="AK3" s="359" t="s">
        <v>23</v>
      </c>
      <c r="AL3" s="353" t="s">
        <v>22</v>
      </c>
      <c r="AM3" s="79" t="s">
        <v>25</v>
      </c>
      <c r="AN3" s="350" t="s">
        <v>109</v>
      </c>
      <c r="AO3" s="350" t="s">
        <v>113</v>
      </c>
      <c r="AP3" s="350" t="s">
        <v>111</v>
      </c>
    </row>
    <row r="4" spans="1:42" s="435" customFormat="1" ht="126.75" customHeight="1" x14ac:dyDescent="0.2">
      <c r="A4" s="434"/>
      <c r="B4" s="434"/>
      <c r="C4" s="434"/>
      <c r="E4" s="413"/>
      <c r="F4" s="530" t="s">
        <v>996</v>
      </c>
      <c r="G4" s="436">
        <v>0.8</v>
      </c>
      <c r="H4" s="413" t="s">
        <v>997</v>
      </c>
      <c r="I4" s="409" t="s">
        <v>998</v>
      </c>
      <c r="J4" s="437">
        <v>22.5</v>
      </c>
      <c r="K4" s="438">
        <v>0.25</v>
      </c>
      <c r="L4" s="439">
        <v>45</v>
      </c>
      <c r="M4" s="438">
        <v>0.5</v>
      </c>
      <c r="N4" s="439">
        <v>67.5</v>
      </c>
      <c r="O4" s="438">
        <v>0.75</v>
      </c>
      <c r="P4" s="440">
        <v>90</v>
      </c>
      <c r="Q4" s="532">
        <v>1</v>
      </c>
      <c r="R4" s="533">
        <v>200000</v>
      </c>
      <c r="S4" s="442"/>
      <c r="T4" s="443">
        <v>50000000</v>
      </c>
      <c r="U4" s="444">
        <v>0.25</v>
      </c>
      <c r="V4" s="443">
        <v>50000000</v>
      </c>
      <c r="W4" s="444">
        <v>0.25</v>
      </c>
      <c r="X4" s="443">
        <v>50000000</v>
      </c>
      <c r="Y4" s="444">
        <v>0.25</v>
      </c>
      <c r="Z4" s="443">
        <v>50000000</v>
      </c>
      <c r="AA4" s="444">
        <v>0.25</v>
      </c>
      <c r="AB4" s="445"/>
      <c r="AC4" s="442"/>
      <c r="AD4" s="443">
        <v>200000000</v>
      </c>
      <c r="AE4" s="444">
        <v>1</v>
      </c>
      <c r="AF4" s="446"/>
      <c r="AG4" s="446"/>
      <c r="AH4" s="447"/>
      <c r="AI4" s="448"/>
      <c r="AJ4" s="446"/>
      <c r="AK4" s="446"/>
      <c r="AL4" s="446"/>
      <c r="AM4" s="434"/>
      <c r="AN4" s="434" t="s">
        <v>999</v>
      </c>
      <c r="AO4" s="434" t="s">
        <v>1000</v>
      </c>
      <c r="AP4" s="413" t="s">
        <v>1001</v>
      </c>
    </row>
    <row r="5" spans="1:42" s="435" customFormat="1" ht="81.75" customHeight="1" x14ac:dyDescent="0.2">
      <c r="A5" s="434"/>
      <c r="B5" s="434"/>
      <c r="C5" s="434"/>
      <c r="E5" s="413"/>
      <c r="F5" s="788" t="s">
        <v>1002</v>
      </c>
      <c r="G5" s="413">
        <v>3</v>
      </c>
      <c r="H5" s="966" t="s">
        <v>1003</v>
      </c>
      <c r="I5" s="409" t="s">
        <v>1004</v>
      </c>
      <c r="J5" s="449">
        <v>1.25</v>
      </c>
      <c r="K5" s="444">
        <v>0.25</v>
      </c>
      <c r="L5" s="437">
        <v>2.5</v>
      </c>
      <c r="M5" s="444">
        <v>0.5</v>
      </c>
      <c r="N5" s="437">
        <v>375</v>
      </c>
      <c r="O5" s="444">
        <v>0.75</v>
      </c>
      <c r="P5" s="450">
        <v>5</v>
      </c>
      <c r="Q5" s="531">
        <v>1</v>
      </c>
      <c r="R5" s="984">
        <v>130000</v>
      </c>
      <c r="S5" s="980"/>
      <c r="T5" s="970">
        <v>32500000</v>
      </c>
      <c r="U5" s="976">
        <v>0.25</v>
      </c>
      <c r="V5" s="970">
        <v>32500000</v>
      </c>
      <c r="W5" s="976">
        <v>0.25</v>
      </c>
      <c r="X5" s="970">
        <v>32500000</v>
      </c>
      <c r="Y5" s="976">
        <v>0.25</v>
      </c>
      <c r="Z5" s="970">
        <v>32500000</v>
      </c>
      <c r="AA5" s="976">
        <v>0.25</v>
      </c>
      <c r="AB5" s="978"/>
      <c r="AC5" s="980"/>
      <c r="AD5" s="970">
        <v>130000000</v>
      </c>
      <c r="AE5" s="972">
        <v>1</v>
      </c>
      <c r="AF5" s="964"/>
      <c r="AG5" s="964"/>
      <c r="AH5" s="974"/>
      <c r="AI5" s="962"/>
      <c r="AJ5" s="964"/>
      <c r="AK5" s="964"/>
      <c r="AL5" s="964"/>
      <c r="AM5" s="968"/>
      <c r="AN5" s="968" t="s">
        <v>999</v>
      </c>
      <c r="AO5" s="968" t="s">
        <v>1000</v>
      </c>
      <c r="AP5" s="966" t="s">
        <v>1001</v>
      </c>
    </row>
    <row r="6" spans="1:42" s="435" customFormat="1" ht="128.25" customHeight="1" x14ac:dyDescent="0.2">
      <c r="A6" s="413" t="s">
        <v>1149</v>
      </c>
      <c r="B6" s="413" t="s">
        <v>1150</v>
      </c>
      <c r="C6" s="535" t="s">
        <v>1151</v>
      </c>
      <c r="D6" s="413" t="s">
        <v>1005</v>
      </c>
      <c r="E6" s="434"/>
      <c r="F6" s="982"/>
      <c r="G6" s="436">
        <v>0.4</v>
      </c>
      <c r="H6" s="983"/>
      <c r="I6" s="409" t="s">
        <v>1006</v>
      </c>
      <c r="J6" s="437">
        <v>17.5</v>
      </c>
      <c r="K6" s="444">
        <v>0.25</v>
      </c>
      <c r="L6" s="437">
        <v>35</v>
      </c>
      <c r="M6" s="444">
        <v>0.5</v>
      </c>
      <c r="N6" s="437">
        <v>52.5</v>
      </c>
      <c r="O6" s="444">
        <v>0.75</v>
      </c>
      <c r="P6" s="438">
        <v>0.7</v>
      </c>
      <c r="Q6" s="531">
        <v>1</v>
      </c>
      <c r="R6" s="985"/>
      <c r="S6" s="981"/>
      <c r="T6" s="971"/>
      <c r="U6" s="977"/>
      <c r="V6" s="971"/>
      <c r="W6" s="977"/>
      <c r="X6" s="971"/>
      <c r="Y6" s="977"/>
      <c r="Z6" s="971"/>
      <c r="AA6" s="977"/>
      <c r="AB6" s="979"/>
      <c r="AC6" s="981"/>
      <c r="AD6" s="971"/>
      <c r="AE6" s="973"/>
      <c r="AF6" s="965"/>
      <c r="AG6" s="965"/>
      <c r="AH6" s="975"/>
      <c r="AI6" s="963"/>
      <c r="AJ6" s="965"/>
      <c r="AK6" s="965"/>
      <c r="AL6" s="965"/>
      <c r="AM6" s="969"/>
      <c r="AN6" s="967"/>
      <c r="AO6" s="967"/>
      <c r="AP6" s="967"/>
    </row>
    <row r="7" spans="1:42" s="435" customFormat="1" ht="92.25" customHeight="1" x14ac:dyDescent="0.2">
      <c r="A7" s="434"/>
      <c r="B7" s="434"/>
      <c r="C7" s="434"/>
      <c r="D7" s="434"/>
      <c r="F7" s="413" t="s">
        <v>1007</v>
      </c>
      <c r="G7" s="436">
        <v>0.4</v>
      </c>
      <c r="H7" s="413" t="s">
        <v>1008</v>
      </c>
      <c r="I7" s="409" t="s">
        <v>1009</v>
      </c>
      <c r="J7" s="451">
        <v>22.5</v>
      </c>
      <c r="K7" s="444">
        <v>0.25</v>
      </c>
      <c r="L7" s="437">
        <v>45</v>
      </c>
      <c r="M7" s="444">
        <v>0.5</v>
      </c>
      <c r="N7" s="437">
        <v>67.5</v>
      </c>
      <c r="O7" s="444">
        <v>0.75</v>
      </c>
      <c r="P7" s="445">
        <v>0.9</v>
      </c>
      <c r="Q7" s="534">
        <v>100</v>
      </c>
      <c r="R7" s="533">
        <v>12000</v>
      </c>
      <c r="S7" s="442"/>
      <c r="T7" s="443">
        <v>3000000</v>
      </c>
      <c r="U7" s="444">
        <v>0.25</v>
      </c>
      <c r="V7" s="443">
        <v>3000000</v>
      </c>
      <c r="W7" s="444">
        <v>0.25</v>
      </c>
      <c r="X7" s="443">
        <v>3000000</v>
      </c>
      <c r="Y7" s="444">
        <v>0.25</v>
      </c>
      <c r="Z7" s="443">
        <v>3000000</v>
      </c>
      <c r="AA7" s="444">
        <v>0.25</v>
      </c>
      <c r="AB7" s="445"/>
      <c r="AC7" s="442"/>
      <c r="AD7" s="443">
        <v>12000000</v>
      </c>
      <c r="AE7" s="452">
        <v>1</v>
      </c>
      <c r="AF7" s="446"/>
      <c r="AG7" s="446"/>
      <c r="AH7" s="453"/>
      <c r="AI7" s="448"/>
      <c r="AJ7" s="446"/>
      <c r="AK7" s="446"/>
      <c r="AL7" s="446"/>
      <c r="AM7" s="434"/>
      <c r="AN7" s="454" t="s">
        <v>999</v>
      </c>
      <c r="AO7" s="454" t="s">
        <v>1000</v>
      </c>
      <c r="AP7" s="413" t="s">
        <v>1001</v>
      </c>
    </row>
    <row r="8" spans="1:42" s="435" customFormat="1" ht="116.25" customHeight="1" x14ac:dyDescent="0.2">
      <c r="A8" s="434"/>
      <c r="B8" s="434"/>
      <c r="C8" s="434"/>
      <c r="D8" s="434"/>
      <c r="F8" s="413" t="s">
        <v>1010</v>
      </c>
      <c r="G8" s="455">
        <v>380</v>
      </c>
      <c r="H8" s="413" t="s">
        <v>1011</v>
      </c>
      <c r="I8" s="409" t="s">
        <v>1012</v>
      </c>
      <c r="J8" s="450">
        <v>100</v>
      </c>
      <c r="K8" s="444">
        <v>0.25</v>
      </c>
      <c r="L8" s="450">
        <v>200</v>
      </c>
      <c r="M8" s="444">
        <v>0.5</v>
      </c>
      <c r="N8" s="450">
        <v>300</v>
      </c>
      <c r="O8" s="444">
        <v>0.75</v>
      </c>
      <c r="P8" s="450">
        <v>400</v>
      </c>
      <c r="Q8" s="534">
        <v>100</v>
      </c>
      <c r="R8" s="533">
        <v>30000</v>
      </c>
      <c r="S8" s="442"/>
      <c r="T8" s="443">
        <v>7500000</v>
      </c>
      <c r="U8" s="444">
        <v>0.25</v>
      </c>
      <c r="V8" s="443">
        <v>7500000</v>
      </c>
      <c r="W8" s="444">
        <v>0.25</v>
      </c>
      <c r="X8" s="443">
        <v>7500000</v>
      </c>
      <c r="Y8" s="444">
        <v>0.25</v>
      </c>
      <c r="Z8" s="443">
        <v>7500000</v>
      </c>
      <c r="AA8" s="444">
        <v>0.25</v>
      </c>
      <c r="AB8" s="445"/>
      <c r="AC8" s="442"/>
      <c r="AD8" s="443">
        <v>30000000</v>
      </c>
      <c r="AE8" s="452">
        <v>1</v>
      </c>
      <c r="AF8" s="446"/>
      <c r="AG8" s="446"/>
      <c r="AH8" s="447"/>
      <c r="AI8" s="448"/>
      <c r="AJ8" s="446"/>
      <c r="AK8" s="446"/>
      <c r="AL8" s="446"/>
      <c r="AM8" s="454"/>
      <c r="AN8" s="454" t="s">
        <v>999</v>
      </c>
      <c r="AO8" s="454" t="s">
        <v>1000</v>
      </c>
      <c r="AP8" s="413" t="s">
        <v>1001</v>
      </c>
    </row>
    <row r="9" spans="1:42" s="435" customFormat="1" ht="102.75" customHeight="1" x14ac:dyDescent="0.2">
      <c r="A9" s="434"/>
      <c r="B9" s="434"/>
      <c r="C9" s="434"/>
      <c r="D9" s="434"/>
      <c r="E9" s="434"/>
      <c r="F9" s="413" t="s">
        <v>1010</v>
      </c>
      <c r="G9" s="413">
        <v>100</v>
      </c>
      <c r="H9" s="413" t="s">
        <v>1013</v>
      </c>
      <c r="I9" s="409" t="s">
        <v>1014</v>
      </c>
      <c r="J9" s="450">
        <v>25</v>
      </c>
      <c r="K9" s="444">
        <v>0.25</v>
      </c>
      <c r="L9" s="450">
        <v>50</v>
      </c>
      <c r="M9" s="444">
        <v>0.5</v>
      </c>
      <c r="N9" s="450">
        <v>75</v>
      </c>
      <c r="O9" s="444">
        <v>0.75</v>
      </c>
      <c r="P9" s="450">
        <v>100</v>
      </c>
      <c r="Q9" s="531">
        <v>1</v>
      </c>
      <c r="R9" s="533">
        <v>40000</v>
      </c>
      <c r="S9" s="442"/>
      <c r="T9" s="443">
        <v>10000000</v>
      </c>
      <c r="U9" s="444">
        <v>0.25</v>
      </c>
      <c r="V9" s="443">
        <v>10000000</v>
      </c>
      <c r="W9" s="444">
        <v>0.25</v>
      </c>
      <c r="X9" s="443">
        <v>10000000</v>
      </c>
      <c r="Y9" s="444">
        <v>0.25</v>
      </c>
      <c r="Z9" s="443">
        <v>10000000</v>
      </c>
      <c r="AA9" s="444">
        <v>0.25</v>
      </c>
      <c r="AB9" s="445"/>
      <c r="AC9" s="442"/>
      <c r="AD9" s="443">
        <v>40000000</v>
      </c>
      <c r="AE9" s="452">
        <v>1</v>
      </c>
      <c r="AF9" s="446"/>
      <c r="AG9" s="446"/>
      <c r="AH9" s="453"/>
      <c r="AI9" s="448"/>
      <c r="AJ9" s="446"/>
      <c r="AK9" s="446"/>
      <c r="AL9" s="446"/>
      <c r="AM9" s="434"/>
      <c r="AN9" s="454" t="s">
        <v>999</v>
      </c>
      <c r="AO9" s="454" t="s">
        <v>1000</v>
      </c>
      <c r="AP9" s="413" t="s">
        <v>1001</v>
      </c>
    </row>
    <row r="10" spans="1:42" s="435" customFormat="1" ht="115.5" customHeight="1" x14ac:dyDescent="0.2">
      <c r="A10" s="434"/>
      <c r="B10" s="434"/>
      <c r="C10" s="434"/>
      <c r="D10" s="434"/>
      <c r="E10" s="434"/>
      <c r="F10" s="413" t="s">
        <v>789</v>
      </c>
      <c r="G10" s="413">
        <v>50</v>
      </c>
      <c r="H10" s="413" t="s">
        <v>1015</v>
      </c>
      <c r="I10" s="409" t="s">
        <v>1016</v>
      </c>
      <c r="J10" s="437">
        <v>22.5</v>
      </c>
      <c r="K10" s="444">
        <v>0.25</v>
      </c>
      <c r="L10" s="450">
        <v>45</v>
      </c>
      <c r="M10" s="444">
        <v>0.5</v>
      </c>
      <c r="N10" s="437">
        <v>67.5</v>
      </c>
      <c r="O10" s="444">
        <v>0.75</v>
      </c>
      <c r="P10" s="450">
        <v>90</v>
      </c>
      <c r="Q10" s="531">
        <v>1</v>
      </c>
      <c r="R10" s="533">
        <v>20300</v>
      </c>
      <c r="S10" s="442"/>
      <c r="T10" s="443">
        <v>5075000</v>
      </c>
      <c r="U10" s="444">
        <v>0.25</v>
      </c>
      <c r="V10" s="443">
        <v>5075000</v>
      </c>
      <c r="W10" s="444">
        <v>0.25</v>
      </c>
      <c r="X10" s="443">
        <v>5075000</v>
      </c>
      <c r="Y10" s="444">
        <v>0.25</v>
      </c>
      <c r="Z10" s="443">
        <v>5075000</v>
      </c>
      <c r="AA10" s="444">
        <v>0.25</v>
      </c>
      <c r="AB10" s="445"/>
      <c r="AC10" s="442"/>
      <c r="AD10" s="443">
        <v>20300000</v>
      </c>
      <c r="AE10" s="452">
        <v>1</v>
      </c>
      <c r="AF10" s="446"/>
      <c r="AG10" s="446"/>
      <c r="AH10" s="453"/>
      <c r="AI10" s="448"/>
      <c r="AJ10" s="446"/>
      <c r="AK10" s="446"/>
      <c r="AL10" s="446"/>
      <c r="AM10" s="434"/>
      <c r="AN10" s="454" t="s">
        <v>999</v>
      </c>
      <c r="AO10" s="454" t="s">
        <v>1000</v>
      </c>
      <c r="AP10" s="413" t="s">
        <v>1001</v>
      </c>
    </row>
    <row r="11" spans="1:42" s="435" customFormat="1" ht="113.25" customHeight="1" x14ac:dyDescent="0.2">
      <c r="A11" s="434"/>
      <c r="B11" s="434"/>
      <c r="C11" s="434"/>
      <c r="D11" s="434"/>
      <c r="E11" s="434"/>
      <c r="F11" s="413" t="s">
        <v>1017</v>
      </c>
      <c r="G11" s="413">
        <v>700</v>
      </c>
      <c r="H11" s="413" t="s">
        <v>1018</v>
      </c>
      <c r="I11" s="409" t="s">
        <v>1019</v>
      </c>
      <c r="J11" s="450">
        <v>375</v>
      </c>
      <c r="K11" s="444">
        <v>0.25</v>
      </c>
      <c r="L11" s="437">
        <v>750</v>
      </c>
      <c r="M11" s="444">
        <v>0.5</v>
      </c>
      <c r="N11" s="437">
        <v>1125</v>
      </c>
      <c r="O11" s="444">
        <v>0.75</v>
      </c>
      <c r="P11" s="450">
        <v>1500</v>
      </c>
      <c r="Q11" s="531">
        <v>1</v>
      </c>
      <c r="R11" s="533">
        <v>25000</v>
      </c>
      <c r="S11" s="442"/>
      <c r="T11" s="443">
        <v>6250000</v>
      </c>
      <c r="U11" s="444">
        <v>0.25</v>
      </c>
      <c r="V11" s="443">
        <v>6250000</v>
      </c>
      <c r="W11" s="444">
        <v>0.25</v>
      </c>
      <c r="X11" s="443">
        <v>6250000</v>
      </c>
      <c r="Y11" s="444">
        <v>0.25</v>
      </c>
      <c r="Z11" s="443">
        <v>6250000</v>
      </c>
      <c r="AA11" s="444">
        <v>0.25</v>
      </c>
      <c r="AB11" s="445"/>
      <c r="AC11" s="442"/>
      <c r="AD11" s="443">
        <v>25000000</v>
      </c>
      <c r="AE11" s="452">
        <v>1</v>
      </c>
      <c r="AF11" s="446"/>
      <c r="AG11" s="446"/>
      <c r="AH11" s="447"/>
      <c r="AI11" s="448"/>
      <c r="AJ11" s="446"/>
      <c r="AK11" s="446"/>
      <c r="AL11" s="446"/>
      <c r="AM11" s="434"/>
      <c r="AN11" s="454" t="s">
        <v>999</v>
      </c>
      <c r="AO11" s="454" t="s">
        <v>1000</v>
      </c>
      <c r="AP11" s="413" t="s">
        <v>1001</v>
      </c>
    </row>
    <row r="12" spans="1:42" s="435" customFormat="1" ht="101.25" customHeight="1" x14ac:dyDescent="0.2">
      <c r="A12" s="434"/>
      <c r="B12" s="434"/>
      <c r="C12" s="434"/>
      <c r="D12" s="434"/>
      <c r="E12" s="434"/>
      <c r="F12" s="413" t="s">
        <v>1020</v>
      </c>
      <c r="G12" s="444">
        <v>1</v>
      </c>
      <c r="H12" s="413" t="s">
        <v>1021</v>
      </c>
      <c r="I12" s="409" t="s">
        <v>1022</v>
      </c>
      <c r="J12" s="450">
        <v>25</v>
      </c>
      <c r="K12" s="444">
        <v>0.25</v>
      </c>
      <c r="L12" s="437">
        <v>50</v>
      </c>
      <c r="M12" s="444">
        <v>0.5</v>
      </c>
      <c r="N12" s="437">
        <v>75</v>
      </c>
      <c r="O12" s="444">
        <v>0.75</v>
      </c>
      <c r="P12" s="445">
        <v>1</v>
      </c>
      <c r="Q12" s="531">
        <v>1</v>
      </c>
      <c r="R12" s="533">
        <v>2000</v>
      </c>
      <c r="S12" s="442"/>
      <c r="T12" s="443">
        <v>500000</v>
      </c>
      <c r="U12" s="444">
        <v>0.25</v>
      </c>
      <c r="V12" s="443">
        <v>500000</v>
      </c>
      <c r="W12" s="444">
        <v>0.25</v>
      </c>
      <c r="X12" s="443">
        <v>500000</v>
      </c>
      <c r="Y12" s="444">
        <v>0.25</v>
      </c>
      <c r="Z12" s="443">
        <v>500000</v>
      </c>
      <c r="AA12" s="444">
        <v>0.25</v>
      </c>
      <c r="AB12" s="445"/>
      <c r="AC12" s="442"/>
      <c r="AD12" s="443">
        <v>2000000</v>
      </c>
      <c r="AE12" s="452">
        <v>1</v>
      </c>
      <c r="AF12" s="446"/>
      <c r="AG12" s="446"/>
      <c r="AH12" s="447"/>
      <c r="AI12" s="448"/>
      <c r="AJ12" s="446"/>
      <c r="AK12" s="446"/>
      <c r="AL12" s="446"/>
      <c r="AM12" s="434"/>
      <c r="AN12" s="454" t="s">
        <v>999</v>
      </c>
      <c r="AO12" s="454" t="s">
        <v>1000</v>
      </c>
      <c r="AP12" s="413" t="s">
        <v>1001</v>
      </c>
    </row>
    <row r="13" spans="1:42" s="435" customFormat="1" ht="97.5" customHeight="1" x14ac:dyDescent="0.2">
      <c r="A13" s="434"/>
      <c r="B13" s="434"/>
      <c r="C13" s="434"/>
      <c r="D13" s="434"/>
      <c r="E13" s="434"/>
      <c r="F13" s="413" t="s">
        <v>1023</v>
      </c>
      <c r="G13" s="446">
        <v>0</v>
      </c>
      <c r="H13" s="413" t="s">
        <v>1024</v>
      </c>
      <c r="I13" s="409" t="s">
        <v>1025</v>
      </c>
      <c r="J13" s="437">
        <v>0.5</v>
      </c>
      <c r="K13" s="444">
        <v>0.25</v>
      </c>
      <c r="L13" s="437">
        <v>1</v>
      </c>
      <c r="M13" s="444">
        <v>0.5</v>
      </c>
      <c r="N13" s="437">
        <v>1.5</v>
      </c>
      <c r="O13" s="444">
        <v>0.75</v>
      </c>
      <c r="P13" s="450">
        <v>2</v>
      </c>
      <c r="Q13" s="531">
        <v>1</v>
      </c>
      <c r="R13" s="533">
        <v>6000</v>
      </c>
      <c r="S13" s="442"/>
      <c r="T13" s="443">
        <v>1500000</v>
      </c>
      <c r="U13" s="444">
        <v>0.25</v>
      </c>
      <c r="V13" s="443">
        <v>1500000</v>
      </c>
      <c r="W13" s="444">
        <v>0.25</v>
      </c>
      <c r="X13" s="443">
        <v>1500000</v>
      </c>
      <c r="Y13" s="444">
        <v>0.25</v>
      </c>
      <c r="Z13" s="443">
        <v>1500000</v>
      </c>
      <c r="AA13" s="444">
        <v>0.25</v>
      </c>
      <c r="AB13" s="445"/>
      <c r="AC13" s="442"/>
      <c r="AD13" s="443">
        <v>6000000</v>
      </c>
      <c r="AE13" s="452">
        <v>1</v>
      </c>
      <c r="AF13" s="446"/>
      <c r="AG13" s="446"/>
      <c r="AH13" s="453"/>
      <c r="AI13" s="448"/>
      <c r="AJ13" s="446"/>
      <c r="AK13" s="446"/>
      <c r="AL13" s="446"/>
      <c r="AM13" s="434"/>
      <c r="AN13" s="454" t="s">
        <v>999</v>
      </c>
      <c r="AO13" s="454" t="s">
        <v>1000</v>
      </c>
      <c r="AP13" s="413" t="s">
        <v>1001</v>
      </c>
    </row>
    <row r="14" spans="1:42" s="435" customFormat="1" ht="111.75" customHeight="1" x14ac:dyDescent="0.2">
      <c r="A14" s="434"/>
      <c r="B14" s="434"/>
      <c r="C14" s="434"/>
      <c r="D14" s="434"/>
      <c r="E14" s="434"/>
      <c r="F14" s="413" t="s">
        <v>1026</v>
      </c>
      <c r="G14" s="446">
        <v>1</v>
      </c>
      <c r="H14" s="413" t="s">
        <v>1027</v>
      </c>
      <c r="I14" s="409" t="s">
        <v>1028</v>
      </c>
      <c r="J14" s="437">
        <v>0.5</v>
      </c>
      <c r="K14" s="444">
        <v>0.25</v>
      </c>
      <c r="L14" s="437">
        <v>1</v>
      </c>
      <c r="M14" s="444">
        <v>0.5</v>
      </c>
      <c r="N14" s="437">
        <v>1.5</v>
      </c>
      <c r="O14" s="444">
        <v>0.75</v>
      </c>
      <c r="P14" s="450">
        <v>2</v>
      </c>
      <c r="Q14" s="531">
        <v>1</v>
      </c>
      <c r="R14" s="533">
        <v>40000</v>
      </c>
      <c r="S14" s="442"/>
      <c r="T14" s="443">
        <v>10000000</v>
      </c>
      <c r="U14" s="444">
        <v>0.25</v>
      </c>
      <c r="V14" s="443">
        <v>10000000</v>
      </c>
      <c r="W14" s="444">
        <v>0.25</v>
      </c>
      <c r="X14" s="443">
        <v>10000000</v>
      </c>
      <c r="Y14" s="444">
        <v>0.25</v>
      </c>
      <c r="Z14" s="443">
        <v>10000000</v>
      </c>
      <c r="AA14" s="444">
        <v>0.25</v>
      </c>
      <c r="AB14" s="445"/>
      <c r="AC14" s="442"/>
      <c r="AD14" s="443">
        <v>40000000</v>
      </c>
      <c r="AE14" s="452">
        <v>1</v>
      </c>
      <c r="AF14" s="446"/>
      <c r="AG14" s="446"/>
      <c r="AH14" s="453"/>
      <c r="AI14" s="448"/>
      <c r="AJ14" s="446"/>
      <c r="AK14" s="446"/>
      <c r="AL14" s="446"/>
      <c r="AM14" s="434"/>
      <c r="AN14" s="454" t="s">
        <v>999</v>
      </c>
      <c r="AO14" s="454" t="s">
        <v>1000</v>
      </c>
      <c r="AP14" s="413" t="s">
        <v>1001</v>
      </c>
    </row>
    <row r="15" spans="1:42" s="435" customFormat="1" ht="122.25" customHeight="1" x14ac:dyDescent="0.2">
      <c r="A15" s="434"/>
      <c r="B15" s="434"/>
      <c r="C15" s="434"/>
      <c r="D15" s="413" t="s">
        <v>1029</v>
      </c>
      <c r="E15" s="456"/>
      <c r="F15" s="413" t="s">
        <v>1030</v>
      </c>
      <c r="G15" s="413">
        <v>4</v>
      </c>
      <c r="H15" s="413" t="s">
        <v>1031</v>
      </c>
      <c r="I15" s="409" t="s">
        <v>1032</v>
      </c>
      <c r="J15" s="437">
        <v>3.5</v>
      </c>
      <c r="K15" s="444">
        <v>0.25</v>
      </c>
      <c r="L15" s="437">
        <v>7</v>
      </c>
      <c r="M15" s="444">
        <v>0.5</v>
      </c>
      <c r="N15" s="437">
        <v>10.5</v>
      </c>
      <c r="O15" s="444">
        <v>0.75</v>
      </c>
      <c r="P15" s="450">
        <v>14</v>
      </c>
      <c r="Q15" s="531">
        <v>1</v>
      </c>
      <c r="R15" s="441">
        <v>10000</v>
      </c>
      <c r="S15" s="442"/>
      <c r="T15" s="443">
        <v>2500000</v>
      </c>
      <c r="U15" s="444">
        <v>0.25</v>
      </c>
      <c r="V15" s="443">
        <v>2500000</v>
      </c>
      <c r="W15" s="444">
        <v>0.25</v>
      </c>
      <c r="X15" s="443">
        <v>2500000</v>
      </c>
      <c r="Y15" s="444">
        <v>0.25</v>
      </c>
      <c r="Z15" s="443">
        <v>2500000</v>
      </c>
      <c r="AA15" s="444">
        <v>0.25</v>
      </c>
      <c r="AB15" s="445"/>
      <c r="AC15" s="442"/>
      <c r="AD15" s="443">
        <v>10000000</v>
      </c>
      <c r="AE15" s="452">
        <v>1</v>
      </c>
      <c r="AF15" s="446"/>
      <c r="AG15" s="446"/>
      <c r="AH15" s="447"/>
      <c r="AI15" s="448"/>
      <c r="AJ15" s="446"/>
      <c r="AK15" s="446"/>
      <c r="AL15" s="446"/>
      <c r="AM15" s="434"/>
      <c r="AN15" s="454" t="s">
        <v>999</v>
      </c>
      <c r="AO15" s="454" t="s">
        <v>1000</v>
      </c>
      <c r="AP15" s="413" t="s">
        <v>1001</v>
      </c>
    </row>
    <row r="16" spans="1:42" s="435" customFormat="1" ht="91.5" customHeight="1" x14ac:dyDescent="0.2">
      <c r="A16" s="434"/>
      <c r="B16" s="434"/>
      <c r="C16" s="434"/>
      <c r="D16" s="456"/>
      <c r="E16" s="456"/>
      <c r="F16" s="413" t="s">
        <v>1033</v>
      </c>
      <c r="G16" s="413">
        <v>4</v>
      </c>
      <c r="H16" s="413" t="s">
        <v>1034</v>
      </c>
      <c r="I16" s="409" t="s">
        <v>1035</v>
      </c>
      <c r="J16" s="437">
        <v>1.5</v>
      </c>
      <c r="K16" s="444">
        <v>0.25</v>
      </c>
      <c r="L16" s="437">
        <v>3</v>
      </c>
      <c r="M16" s="444">
        <v>0.5</v>
      </c>
      <c r="N16" s="437">
        <v>4.5</v>
      </c>
      <c r="O16" s="444">
        <v>0.75</v>
      </c>
      <c r="P16" s="450">
        <v>6</v>
      </c>
      <c r="Q16" s="531">
        <v>1</v>
      </c>
      <c r="R16" s="441">
        <v>10000</v>
      </c>
      <c r="S16" s="442"/>
      <c r="T16" s="443">
        <v>2500000</v>
      </c>
      <c r="U16" s="444">
        <v>0.25</v>
      </c>
      <c r="V16" s="443">
        <v>2500000</v>
      </c>
      <c r="W16" s="444">
        <v>0.25</v>
      </c>
      <c r="X16" s="443">
        <v>2500000</v>
      </c>
      <c r="Y16" s="444">
        <v>0.25</v>
      </c>
      <c r="Z16" s="443">
        <v>2500000</v>
      </c>
      <c r="AA16" s="444">
        <v>0.25</v>
      </c>
      <c r="AB16" s="445"/>
      <c r="AC16" s="442"/>
      <c r="AD16" s="443">
        <v>10000000</v>
      </c>
      <c r="AE16" s="452">
        <v>1</v>
      </c>
      <c r="AF16" s="446"/>
      <c r="AG16" s="446"/>
      <c r="AH16" s="453"/>
      <c r="AI16" s="448"/>
      <c r="AJ16" s="446"/>
      <c r="AK16" s="446"/>
      <c r="AL16" s="446"/>
      <c r="AM16" s="434"/>
      <c r="AN16" s="454" t="s">
        <v>999</v>
      </c>
      <c r="AO16" s="454" t="s">
        <v>1000</v>
      </c>
      <c r="AP16" s="413" t="s">
        <v>1001</v>
      </c>
    </row>
    <row r="17" spans="1:42" s="435" customFormat="1" ht="117" customHeight="1" x14ac:dyDescent="0.2">
      <c r="A17" s="434"/>
      <c r="B17" s="434"/>
      <c r="C17" s="434"/>
      <c r="D17" s="456"/>
      <c r="E17" s="456"/>
      <c r="F17" s="413" t="s">
        <v>1036</v>
      </c>
      <c r="G17" s="413">
        <v>0</v>
      </c>
      <c r="H17" s="413" t="s">
        <v>1037</v>
      </c>
      <c r="I17" s="409" t="s">
        <v>1038</v>
      </c>
      <c r="J17" s="449">
        <v>0.25</v>
      </c>
      <c r="K17" s="444">
        <v>0.25</v>
      </c>
      <c r="L17" s="437">
        <v>0.5</v>
      </c>
      <c r="M17" s="444">
        <v>0.5</v>
      </c>
      <c r="N17" s="449">
        <v>0.75</v>
      </c>
      <c r="O17" s="444">
        <v>0.75</v>
      </c>
      <c r="P17" s="450">
        <v>1</v>
      </c>
      <c r="Q17" s="531">
        <v>1</v>
      </c>
      <c r="R17" s="441">
        <v>500000</v>
      </c>
      <c r="S17" s="442"/>
      <c r="T17" s="443"/>
      <c r="U17" s="444"/>
      <c r="V17" s="443">
        <v>166666666</v>
      </c>
      <c r="W17" s="444">
        <v>0.33</v>
      </c>
      <c r="X17" s="443">
        <v>166666666</v>
      </c>
      <c r="Y17" s="444">
        <v>0.33</v>
      </c>
      <c r="Z17" s="443">
        <v>166666666</v>
      </c>
      <c r="AA17" s="444">
        <v>0.33</v>
      </c>
      <c r="AB17" s="445"/>
      <c r="AC17" s="442"/>
      <c r="AD17" s="443">
        <v>500000000</v>
      </c>
      <c r="AE17" s="452">
        <v>1</v>
      </c>
      <c r="AF17" s="446"/>
      <c r="AG17" s="446"/>
      <c r="AH17" s="447"/>
      <c r="AI17" s="448"/>
      <c r="AJ17" s="446"/>
      <c r="AK17" s="446"/>
      <c r="AL17" s="446"/>
      <c r="AM17" s="434"/>
      <c r="AN17" s="454" t="s">
        <v>999</v>
      </c>
      <c r="AO17" s="454" t="s">
        <v>1000</v>
      </c>
      <c r="AP17" s="413" t="s">
        <v>1001</v>
      </c>
    </row>
    <row r="18" spans="1:42" s="435" customFormat="1" ht="112.5" customHeight="1" x14ac:dyDescent="0.2">
      <c r="A18" s="434"/>
      <c r="B18" s="434"/>
      <c r="C18" s="434"/>
      <c r="D18" s="456"/>
      <c r="E18" s="456"/>
      <c r="F18" s="413"/>
      <c r="G18" s="436">
        <v>1</v>
      </c>
      <c r="H18" s="413" t="s">
        <v>1039</v>
      </c>
      <c r="I18" s="409" t="s">
        <v>1040</v>
      </c>
      <c r="J18" s="445">
        <v>0.25</v>
      </c>
      <c r="K18" s="444">
        <v>0.25</v>
      </c>
      <c r="L18" s="437">
        <v>50</v>
      </c>
      <c r="M18" s="444">
        <v>0.5</v>
      </c>
      <c r="N18" s="437">
        <v>75</v>
      </c>
      <c r="O18" s="444">
        <v>0.75</v>
      </c>
      <c r="P18" s="445">
        <v>1</v>
      </c>
      <c r="Q18" s="531">
        <v>1</v>
      </c>
      <c r="R18" s="441">
        <v>18000</v>
      </c>
      <c r="S18" s="442"/>
      <c r="T18" s="443">
        <v>4500000</v>
      </c>
      <c r="U18" s="444">
        <v>0.25</v>
      </c>
      <c r="V18" s="443">
        <v>4500000</v>
      </c>
      <c r="W18" s="444">
        <v>0.25</v>
      </c>
      <c r="X18" s="443">
        <v>4500000</v>
      </c>
      <c r="Y18" s="444">
        <v>0.25</v>
      </c>
      <c r="Z18" s="443">
        <v>4500000</v>
      </c>
      <c r="AA18" s="444">
        <v>0.25</v>
      </c>
      <c r="AB18" s="445"/>
      <c r="AC18" s="442"/>
      <c r="AD18" s="443">
        <v>18000000</v>
      </c>
      <c r="AE18" s="452">
        <v>1</v>
      </c>
      <c r="AF18" s="446"/>
      <c r="AG18" s="446"/>
      <c r="AH18" s="453"/>
      <c r="AI18" s="448"/>
      <c r="AJ18" s="446"/>
      <c r="AK18" s="446"/>
      <c r="AL18" s="446"/>
      <c r="AM18" s="434"/>
      <c r="AN18" s="454" t="s">
        <v>999</v>
      </c>
      <c r="AO18" s="454" t="s">
        <v>1000</v>
      </c>
      <c r="AP18" s="413" t="s">
        <v>1001</v>
      </c>
    </row>
    <row r="19" spans="1:42" s="435" customFormat="1" ht="112.5" customHeight="1" x14ac:dyDescent="0.2">
      <c r="A19" s="434"/>
      <c r="B19" s="434"/>
      <c r="C19" s="434"/>
      <c r="D19" s="413" t="s">
        <v>1041</v>
      </c>
      <c r="E19" s="456"/>
      <c r="F19" s="413" t="s">
        <v>1042</v>
      </c>
      <c r="G19" s="413">
        <v>0</v>
      </c>
      <c r="H19" s="413" t="s">
        <v>1043</v>
      </c>
      <c r="I19" s="409" t="s">
        <v>1044</v>
      </c>
      <c r="J19" s="450">
        <v>1</v>
      </c>
      <c r="K19" s="444">
        <v>0.25</v>
      </c>
      <c r="L19" s="450">
        <v>2</v>
      </c>
      <c r="M19" s="444">
        <v>0.5</v>
      </c>
      <c r="N19" s="450">
        <v>3</v>
      </c>
      <c r="O19" s="444">
        <v>0.75</v>
      </c>
      <c r="P19" s="450">
        <v>4</v>
      </c>
      <c r="Q19" s="531">
        <v>1</v>
      </c>
      <c r="R19" s="441">
        <v>52000</v>
      </c>
      <c r="S19" s="442"/>
      <c r="T19" s="443">
        <v>13000000</v>
      </c>
      <c r="U19" s="444">
        <v>0.25</v>
      </c>
      <c r="V19" s="443">
        <v>13000000</v>
      </c>
      <c r="W19" s="444">
        <v>0.25</v>
      </c>
      <c r="X19" s="443">
        <v>13000000</v>
      </c>
      <c r="Y19" s="444">
        <v>0.25</v>
      </c>
      <c r="Z19" s="443">
        <v>13000000</v>
      </c>
      <c r="AA19" s="444">
        <v>0.25</v>
      </c>
      <c r="AB19" s="445"/>
      <c r="AC19" s="442"/>
      <c r="AD19" s="443">
        <v>52000000</v>
      </c>
      <c r="AE19" s="452">
        <v>1</v>
      </c>
      <c r="AF19" s="446"/>
      <c r="AG19" s="446"/>
      <c r="AH19" s="453"/>
      <c r="AI19" s="448"/>
      <c r="AJ19" s="446"/>
      <c r="AK19" s="446"/>
      <c r="AL19" s="446"/>
      <c r="AM19" s="434"/>
      <c r="AN19" s="454" t="s">
        <v>999</v>
      </c>
      <c r="AO19" s="454" t="s">
        <v>1000</v>
      </c>
      <c r="AP19" s="413" t="s">
        <v>1001</v>
      </c>
    </row>
    <row r="20" spans="1:42" s="435" customFormat="1" ht="117.75" customHeight="1" x14ac:dyDescent="0.2">
      <c r="A20" s="434"/>
      <c r="B20" s="434"/>
      <c r="C20" s="434"/>
      <c r="D20" s="456"/>
      <c r="E20" s="456"/>
      <c r="F20" s="413"/>
      <c r="G20" s="413">
        <v>50</v>
      </c>
      <c r="H20" s="413" t="s">
        <v>1045</v>
      </c>
      <c r="I20" s="409" t="s">
        <v>1046</v>
      </c>
      <c r="J20" s="450">
        <v>50</v>
      </c>
      <c r="K20" s="444">
        <v>0.25</v>
      </c>
      <c r="L20" s="450">
        <v>100</v>
      </c>
      <c r="M20" s="444">
        <v>0.5</v>
      </c>
      <c r="N20" s="450">
        <v>150</v>
      </c>
      <c r="O20" s="444">
        <v>0.75</v>
      </c>
      <c r="P20" s="450">
        <v>200</v>
      </c>
      <c r="Q20" s="531">
        <v>1</v>
      </c>
      <c r="R20" s="441">
        <v>122000</v>
      </c>
      <c r="S20" s="442"/>
      <c r="T20" s="443">
        <v>30500000</v>
      </c>
      <c r="U20" s="444">
        <v>0.25</v>
      </c>
      <c r="V20" s="443">
        <v>30500000</v>
      </c>
      <c r="W20" s="444">
        <v>0.25</v>
      </c>
      <c r="X20" s="443">
        <v>30500000</v>
      </c>
      <c r="Y20" s="444">
        <v>0.25</v>
      </c>
      <c r="Z20" s="443">
        <v>30500000</v>
      </c>
      <c r="AA20" s="444">
        <v>0.25</v>
      </c>
      <c r="AB20" s="445"/>
      <c r="AC20" s="442"/>
      <c r="AD20" s="443">
        <v>122000000</v>
      </c>
      <c r="AE20" s="452">
        <v>1</v>
      </c>
      <c r="AF20" s="446"/>
      <c r="AG20" s="446"/>
      <c r="AH20" s="447"/>
      <c r="AI20" s="448"/>
      <c r="AJ20" s="446"/>
      <c r="AK20" s="446"/>
      <c r="AL20" s="446"/>
      <c r="AM20" s="434"/>
      <c r="AN20" s="454" t="s">
        <v>999</v>
      </c>
      <c r="AO20" s="454" t="s">
        <v>1000</v>
      </c>
      <c r="AP20" s="413" t="s">
        <v>1001</v>
      </c>
    </row>
    <row r="21" spans="1:42" s="435" customFormat="1" ht="114" customHeight="1" x14ac:dyDescent="0.2">
      <c r="A21" s="457"/>
      <c r="B21" s="457"/>
      <c r="C21" s="457"/>
      <c r="D21" s="457"/>
      <c r="E21" s="457"/>
      <c r="F21" s="457"/>
      <c r="G21" s="458">
        <v>20</v>
      </c>
      <c r="H21" s="459" t="s">
        <v>1047</v>
      </c>
      <c r="I21" s="459" t="s">
        <v>1048</v>
      </c>
      <c r="J21" s="458">
        <v>5</v>
      </c>
      <c r="K21" s="460">
        <v>0.25</v>
      </c>
      <c r="L21" s="461">
        <v>10</v>
      </c>
      <c r="M21" s="460">
        <v>0.5</v>
      </c>
      <c r="N21" s="461">
        <v>15</v>
      </c>
      <c r="O21" s="460">
        <v>0.75</v>
      </c>
      <c r="P21" s="458">
        <v>20</v>
      </c>
      <c r="Q21" s="460">
        <v>1</v>
      </c>
      <c r="R21" s="462" t="s">
        <v>1049</v>
      </c>
      <c r="S21" s="457"/>
      <c r="T21" s="463">
        <v>3750000</v>
      </c>
      <c r="U21" s="460">
        <v>0.25</v>
      </c>
      <c r="V21" s="463">
        <v>3750000</v>
      </c>
      <c r="W21" s="460">
        <v>0.25</v>
      </c>
      <c r="X21" s="463">
        <v>3750000</v>
      </c>
      <c r="Y21" s="460">
        <v>0.25</v>
      </c>
      <c r="Z21" s="463">
        <v>3750000</v>
      </c>
      <c r="AA21" s="460">
        <v>0.25</v>
      </c>
      <c r="AB21" s="458"/>
      <c r="AC21" s="458"/>
      <c r="AD21" s="463">
        <v>15000000</v>
      </c>
      <c r="AE21" s="460">
        <v>1</v>
      </c>
      <c r="AF21" s="457"/>
      <c r="AG21" s="457"/>
      <c r="AH21" s="457"/>
      <c r="AI21" s="457"/>
      <c r="AJ21" s="457"/>
      <c r="AK21" s="457"/>
      <c r="AL21" s="457"/>
      <c r="AM21" s="457"/>
      <c r="AN21" s="454" t="s">
        <v>999</v>
      </c>
      <c r="AO21" s="454" t="s">
        <v>1000</v>
      </c>
      <c r="AP21" s="413" t="s">
        <v>1001</v>
      </c>
    </row>
    <row r="33" spans="11:20" x14ac:dyDescent="0.25">
      <c r="K33" s="53"/>
      <c r="L33" s="53"/>
      <c r="M33" s="53"/>
      <c r="N33" s="53"/>
      <c r="O33" s="53"/>
      <c r="T33" s="53"/>
    </row>
    <row r="34" spans="11:20" x14ac:dyDescent="0.25">
      <c r="K34" s="53"/>
      <c r="L34" s="53"/>
      <c r="M34" s="53"/>
      <c r="N34" s="53"/>
      <c r="O34" s="53"/>
      <c r="T34" s="53"/>
    </row>
    <row r="35" spans="11:20" x14ac:dyDescent="0.25">
      <c r="K35" s="53"/>
      <c r="L35" s="53"/>
      <c r="M35" s="53"/>
      <c r="N35" s="53"/>
      <c r="O35" s="53"/>
      <c r="T35" s="53"/>
    </row>
    <row r="36" spans="11:20" x14ac:dyDescent="0.25">
      <c r="K36" s="53"/>
      <c r="L36" s="53"/>
      <c r="M36" s="53"/>
      <c r="N36" s="53"/>
      <c r="O36" s="53"/>
      <c r="T36" s="53"/>
    </row>
    <row r="37" spans="11:20" x14ac:dyDescent="0.25">
      <c r="K37" s="53"/>
      <c r="L37" s="53"/>
      <c r="M37" s="53"/>
      <c r="N37" s="53"/>
      <c r="O37" s="53"/>
      <c r="T37" s="53"/>
    </row>
    <row r="38" spans="11:20" x14ac:dyDescent="0.25">
      <c r="K38" s="53"/>
      <c r="L38" s="53"/>
      <c r="M38" s="53"/>
      <c r="N38" s="53"/>
      <c r="O38" s="53"/>
      <c r="T38" s="53"/>
    </row>
    <row r="39" spans="11:20" x14ac:dyDescent="0.25">
      <c r="K39" s="53"/>
      <c r="L39" s="53"/>
      <c r="M39" s="53"/>
      <c r="N39" s="53"/>
      <c r="O39" s="53"/>
      <c r="T39" s="53"/>
    </row>
    <row r="40" spans="11:20" x14ac:dyDescent="0.25">
      <c r="K40" s="53"/>
      <c r="L40" s="53"/>
      <c r="M40" s="53"/>
      <c r="N40" s="53"/>
      <c r="O40" s="53"/>
      <c r="T40" s="53"/>
    </row>
    <row r="41" spans="11:20" x14ac:dyDescent="0.25">
      <c r="K41" s="53"/>
      <c r="L41" s="53"/>
      <c r="M41" s="53"/>
      <c r="N41" s="53"/>
      <c r="O41" s="53"/>
      <c r="T41" s="53"/>
    </row>
    <row r="42" spans="11:20" x14ac:dyDescent="0.25">
      <c r="K42" s="53"/>
      <c r="L42" s="53"/>
      <c r="M42" s="53"/>
      <c r="N42" s="53"/>
      <c r="O42" s="53"/>
      <c r="T42" s="53"/>
    </row>
    <row r="43" spans="11:20" x14ac:dyDescent="0.25">
      <c r="K43" s="53"/>
      <c r="L43" s="53"/>
      <c r="M43" s="53"/>
      <c r="N43" s="53"/>
      <c r="O43" s="53"/>
      <c r="T43" s="53"/>
    </row>
    <row r="44" spans="11:20" x14ac:dyDescent="0.25">
      <c r="K44" s="53"/>
      <c r="L44" s="53"/>
      <c r="M44" s="53"/>
      <c r="N44" s="53"/>
      <c r="O44" s="53"/>
      <c r="T44" s="53"/>
    </row>
    <row r="45" spans="11:20" x14ac:dyDescent="0.25">
      <c r="K45" s="53"/>
      <c r="L45" s="53"/>
      <c r="M45" s="53"/>
      <c r="N45" s="53"/>
      <c r="O45" s="53"/>
      <c r="T45" s="53"/>
    </row>
    <row r="46" spans="11:20" x14ac:dyDescent="0.25">
      <c r="K46" s="53"/>
      <c r="L46" s="53"/>
      <c r="M46" s="53"/>
      <c r="N46" s="53"/>
      <c r="O46" s="53"/>
      <c r="T46" s="53"/>
    </row>
    <row r="47" spans="11:20" x14ac:dyDescent="0.25">
      <c r="K47" s="53"/>
      <c r="L47" s="53"/>
      <c r="M47" s="53"/>
      <c r="N47" s="53"/>
      <c r="O47" s="53"/>
      <c r="T47" s="53"/>
    </row>
  </sheetData>
  <mergeCells count="55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F5:F6"/>
    <mergeCell ref="T1:AA1"/>
    <mergeCell ref="B1:B3"/>
    <mergeCell ref="C1:C3"/>
    <mergeCell ref="D1:D3"/>
    <mergeCell ref="E1:E3"/>
    <mergeCell ref="F1:F3"/>
    <mergeCell ref="G1:G3"/>
    <mergeCell ref="H5:H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P5:AP6"/>
    <mergeCell ref="AK5:AK6"/>
    <mergeCell ref="AL5:AL6"/>
    <mergeCell ref="AM5:AM6"/>
    <mergeCell ref="AN5:AN6"/>
    <mergeCell ref="AO5:AO6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3" workbookViewId="0">
      <selection activeCell="I5" sqref="I5"/>
    </sheetView>
  </sheetViews>
  <sheetFormatPr baseColWidth="10" defaultRowHeight="15" x14ac:dyDescent="0.25"/>
  <cols>
    <col min="1" max="1" width="15.85546875" style="53" customWidth="1"/>
    <col min="2" max="2" width="13.28515625" style="53" customWidth="1"/>
    <col min="3" max="3" width="11.42578125" style="53"/>
    <col min="4" max="4" width="11.42578125" style="53" customWidth="1"/>
    <col min="5" max="5" width="17.28515625" style="53" customWidth="1"/>
    <col min="6" max="6" width="22.28515625" style="53" customWidth="1"/>
    <col min="7" max="7" width="13.140625" style="53" customWidth="1"/>
    <col min="8" max="8" width="28.7109375" style="53" customWidth="1"/>
    <col min="9" max="9" width="43.85546875" style="53" customWidth="1"/>
    <col min="10" max="10" width="11.42578125" style="53" customWidth="1"/>
    <col min="11" max="18" width="11.42578125" style="53"/>
    <col min="19" max="19" width="22.42578125" style="53" customWidth="1"/>
    <col min="20" max="20" width="14.7109375" style="53" bestFit="1" customWidth="1"/>
    <col min="21" max="25" width="11.42578125" style="53"/>
    <col min="26" max="26" width="14.7109375" style="53" bestFit="1" customWidth="1"/>
    <col min="27" max="27" width="11.42578125" style="53"/>
    <col min="28" max="28" width="14.7109375" style="53" bestFit="1" customWidth="1"/>
    <col min="29" max="29" width="11.42578125" style="53"/>
    <col min="30" max="30" width="15.7109375" style="53" customWidth="1"/>
    <col min="31" max="36" width="11.42578125" style="53"/>
    <col min="37" max="37" width="16" style="53" bestFit="1" customWidth="1"/>
    <col min="38" max="41" width="11.42578125" style="53"/>
    <col min="42" max="42" width="36.7109375" style="53" customWidth="1"/>
    <col min="43" max="16384" width="11.42578125" style="53"/>
  </cols>
  <sheetData>
    <row r="1" spans="1:58" ht="15" customHeight="1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351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58" x14ac:dyDescent="0.25">
      <c r="A2" s="648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58" ht="24" x14ac:dyDescent="0.25">
      <c r="A3" s="677"/>
      <c r="B3" s="678"/>
      <c r="C3" s="678"/>
      <c r="D3" s="678"/>
      <c r="E3" s="678"/>
      <c r="F3" s="678"/>
      <c r="G3" s="678"/>
      <c r="H3" s="678"/>
      <c r="I3" s="680"/>
      <c r="J3" s="352" t="s">
        <v>21</v>
      </c>
      <c r="K3" s="353" t="s">
        <v>22</v>
      </c>
      <c r="L3" s="353" t="s">
        <v>21</v>
      </c>
      <c r="M3" s="353" t="s">
        <v>22</v>
      </c>
      <c r="N3" s="353" t="s">
        <v>21</v>
      </c>
      <c r="O3" s="353" t="s">
        <v>22</v>
      </c>
      <c r="P3" s="353" t="s">
        <v>21</v>
      </c>
      <c r="Q3" s="353" t="s">
        <v>22</v>
      </c>
      <c r="R3" s="669"/>
      <c r="S3" s="667"/>
      <c r="T3" s="352" t="s">
        <v>23</v>
      </c>
      <c r="U3" s="353" t="s">
        <v>22</v>
      </c>
      <c r="V3" s="353" t="s">
        <v>23</v>
      </c>
      <c r="W3" s="353" t="s">
        <v>22</v>
      </c>
      <c r="X3" s="353" t="s">
        <v>23</v>
      </c>
      <c r="Y3" s="353" t="s">
        <v>22</v>
      </c>
      <c r="Z3" s="353" t="s">
        <v>23</v>
      </c>
      <c r="AA3" s="354" t="s">
        <v>22</v>
      </c>
      <c r="AB3" s="352" t="s">
        <v>23</v>
      </c>
      <c r="AC3" s="353" t="s">
        <v>22</v>
      </c>
      <c r="AD3" s="353" t="s">
        <v>23</v>
      </c>
      <c r="AE3" s="353" t="s">
        <v>22</v>
      </c>
      <c r="AF3" s="353" t="s">
        <v>24</v>
      </c>
      <c r="AG3" s="353" t="s">
        <v>23</v>
      </c>
      <c r="AH3" s="353" t="s">
        <v>22</v>
      </c>
      <c r="AI3" s="59" t="s">
        <v>23</v>
      </c>
      <c r="AJ3" s="59" t="s">
        <v>22</v>
      </c>
      <c r="AK3" s="359" t="s">
        <v>23</v>
      </c>
      <c r="AL3" s="353" t="s">
        <v>22</v>
      </c>
      <c r="AM3" s="79" t="s">
        <v>25</v>
      </c>
      <c r="AN3" s="350" t="s">
        <v>109</v>
      </c>
      <c r="AO3" s="350" t="s">
        <v>113</v>
      </c>
      <c r="AP3" s="350" t="s">
        <v>111</v>
      </c>
    </row>
    <row r="4" spans="1:58" s="477" customFormat="1" ht="48.75" customHeight="1" thickBot="1" x14ac:dyDescent="0.3">
      <c r="A4" s="1008" t="s">
        <v>901</v>
      </c>
      <c r="B4" s="827" t="s">
        <v>791</v>
      </c>
      <c r="C4" s="1008"/>
      <c r="D4" s="1011" t="s">
        <v>791</v>
      </c>
      <c r="E4" s="1011" t="s">
        <v>1050</v>
      </c>
      <c r="F4" s="1002" t="s">
        <v>1051</v>
      </c>
      <c r="G4" s="467">
        <v>0.9</v>
      </c>
      <c r="H4" s="468" t="s">
        <v>1052</v>
      </c>
      <c r="I4" s="469" t="s">
        <v>1053</v>
      </c>
      <c r="J4" s="470"/>
      <c r="K4" s="471">
        <v>95</v>
      </c>
      <c r="L4" s="471"/>
      <c r="M4" s="471">
        <v>95</v>
      </c>
      <c r="N4" s="471"/>
      <c r="O4" s="471">
        <v>95</v>
      </c>
      <c r="P4" s="471"/>
      <c r="Q4" s="471">
        <v>95</v>
      </c>
      <c r="R4" s="472"/>
      <c r="S4" s="1003">
        <v>572576000</v>
      </c>
      <c r="T4" s="1005">
        <f>S4/4</f>
        <v>143144000</v>
      </c>
      <c r="U4" s="991">
        <v>25</v>
      </c>
      <c r="V4" s="991">
        <f>T4</f>
        <v>143144000</v>
      </c>
      <c r="W4" s="991">
        <v>25</v>
      </c>
      <c r="X4" s="991">
        <f>V4</f>
        <v>143144000</v>
      </c>
      <c r="Y4" s="991">
        <v>25</v>
      </c>
      <c r="Z4" s="991">
        <f>X4</f>
        <v>143144000</v>
      </c>
      <c r="AA4" s="999">
        <v>25</v>
      </c>
      <c r="AB4" s="998">
        <v>0</v>
      </c>
      <c r="AC4" s="991"/>
      <c r="AD4" s="991">
        <f>S4</f>
        <v>572576000</v>
      </c>
      <c r="AE4" s="991">
        <v>100</v>
      </c>
      <c r="AF4" s="991">
        <v>234208</v>
      </c>
      <c r="AG4" s="471"/>
      <c r="AH4" s="471"/>
      <c r="AI4" s="473"/>
      <c r="AJ4" s="473"/>
      <c r="AK4" s="474"/>
      <c r="AL4" s="471"/>
      <c r="AM4" s="475"/>
      <c r="AN4" s="991" t="s">
        <v>791</v>
      </c>
      <c r="AO4" s="991" t="s">
        <v>26</v>
      </c>
      <c r="AP4" s="476" t="s">
        <v>1054</v>
      </c>
    </row>
    <row r="5" spans="1:58" ht="65.25" customHeight="1" thickBot="1" x14ac:dyDescent="0.3">
      <c r="A5" s="1009"/>
      <c r="B5" s="828"/>
      <c r="C5" s="1009"/>
      <c r="D5" s="808"/>
      <c r="E5" s="808"/>
      <c r="F5" s="1002"/>
      <c r="G5" s="357">
        <v>1</v>
      </c>
      <c r="H5" s="293" t="s">
        <v>1055</v>
      </c>
      <c r="I5" s="293" t="s">
        <v>1056</v>
      </c>
      <c r="J5" s="64"/>
      <c r="K5" s="65"/>
      <c r="L5" s="64"/>
      <c r="M5" s="65"/>
      <c r="N5" s="64"/>
      <c r="O5" s="65"/>
      <c r="P5" s="64"/>
      <c r="Q5" s="65"/>
      <c r="R5" s="66"/>
      <c r="S5" s="1003"/>
      <c r="T5" s="1006"/>
      <c r="U5" s="992"/>
      <c r="V5" s="992"/>
      <c r="W5" s="992"/>
      <c r="X5" s="992"/>
      <c r="Y5" s="992"/>
      <c r="Z5" s="992"/>
      <c r="AA5" s="1000"/>
      <c r="AB5" s="998"/>
      <c r="AC5" s="992"/>
      <c r="AD5" s="992"/>
      <c r="AE5" s="992"/>
      <c r="AF5" s="992"/>
      <c r="AG5" s="63"/>
      <c r="AH5" s="63"/>
      <c r="AI5" s="69"/>
      <c r="AJ5" s="70"/>
      <c r="AK5" s="63"/>
      <c r="AL5" s="63"/>
      <c r="AM5" s="63"/>
      <c r="AN5" s="992"/>
      <c r="AO5" s="992"/>
      <c r="AP5" s="478" t="s">
        <v>1057</v>
      </c>
    </row>
    <row r="6" spans="1:58" ht="47.25" customHeight="1" thickBot="1" x14ac:dyDescent="0.3">
      <c r="A6" s="1009"/>
      <c r="B6" s="828"/>
      <c r="C6" s="1009"/>
      <c r="D6" s="808"/>
      <c r="E6" s="808"/>
      <c r="F6" s="1002"/>
      <c r="G6" s="357">
        <v>1</v>
      </c>
      <c r="H6" s="370" t="s">
        <v>1058</v>
      </c>
      <c r="I6" s="931" t="s">
        <v>1059</v>
      </c>
      <c r="J6" s="64"/>
      <c r="K6" s="65"/>
      <c r="L6" s="64"/>
      <c r="M6" s="65"/>
      <c r="N6" s="64"/>
      <c r="O6" s="65"/>
      <c r="P6" s="64"/>
      <c r="Q6" s="65"/>
      <c r="R6" s="66"/>
      <c r="S6" s="1003"/>
      <c r="T6" s="1006"/>
      <c r="U6" s="992"/>
      <c r="V6" s="992"/>
      <c r="W6" s="992"/>
      <c r="X6" s="992"/>
      <c r="Y6" s="992"/>
      <c r="Z6" s="992"/>
      <c r="AA6" s="1000"/>
      <c r="AB6" s="998"/>
      <c r="AC6" s="992"/>
      <c r="AD6" s="992"/>
      <c r="AE6" s="992"/>
      <c r="AF6" s="992"/>
      <c r="AG6" s="63"/>
      <c r="AH6" s="68"/>
      <c r="AI6" s="69"/>
      <c r="AJ6" s="70"/>
      <c r="AK6" s="63"/>
      <c r="AL6" s="63"/>
      <c r="AM6" s="63"/>
      <c r="AN6" s="992"/>
      <c r="AO6" s="992"/>
      <c r="AP6" s="478" t="s">
        <v>1060</v>
      </c>
    </row>
    <row r="7" spans="1:58" ht="30.75" customHeight="1" thickBot="1" x14ac:dyDescent="0.3">
      <c r="A7" s="1009"/>
      <c r="B7" s="828"/>
      <c r="C7" s="1009"/>
      <c r="D7" s="808"/>
      <c r="E7" s="808"/>
      <c r="F7" s="1002"/>
      <c r="G7" s="357">
        <v>0</v>
      </c>
      <c r="H7" s="259" t="s">
        <v>1061</v>
      </c>
      <c r="I7" s="935"/>
      <c r="J7" s="64"/>
      <c r="K7" s="65"/>
      <c r="L7" s="64"/>
      <c r="M7" s="65"/>
      <c r="N7" s="64"/>
      <c r="O7" s="65"/>
      <c r="P7" s="64"/>
      <c r="Q7" s="65"/>
      <c r="R7" s="66"/>
      <c r="S7" s="1003"/>
      <c r="T7" s="1006"/>
      <c r="U7" s="992"/>
      <c r="V7" s="992"/>
      <c r="W7" s="992"/>
      <c r="X7" s="992"/>
      <c r="Y7" s="992"/>
      <c r="Z7" s="992"/>
      <c r="AA7" s="1000"/>
      <c r="AB7" s="998"/>
      <c r="AC7" s="992"/>
      <c r="AD7" s="992"/>
      <c r="AE7" s="992"/>
      <c r="AF7" s="992"/>
      <c r="AG7" s="63"/>
      <c r="AH7" s="63"/>
      <c r="AI7" s="71"/>
      <c r="AJ7" s="70"/>
      <c r="AK7" s="63"/>
      <c r="AL7" s="63"/>
      <c r="AM7" s="63"/>
      <c r="AN7" s="992"/>
      <c r="AO7" s="992"/>
      <c r="AP7" s="478" t="s">
        <v>1062</v>
      </c>
    </row>
    <row r="8" spans="1:58" ht="36.75" thickBot="1" x14ac:dyDescent="0.3">
      <c r="A8" s="1009"/>
      <c r="B8" s="828"/>
      <c r="C8" s="1009"/>
      <c r="D8" s="808"/>
      <c r="E8" s="808"/>
      <c r="F8" s="994"/>
      <c r="G8" s="357">
        <v>0</v>
      </c>
      <c r="H8" s="293" t="s">
        <v>1063</v>
      </c>
      <c r="I8" s="932"/>
      <c r="J8" s="64"/>
      <c r="K8" s="65"/>
      <c r="L8" s="64"/>
      <c r="M8" s="65"/>
      <c r="N8" s="64"/>
      <c r="O8" s="65"/>
      <c r="P8" s="64"/>
      <c r="Q8" s="65"/>
      <c r="R8" s="66"/>
      <c r="S8" s="1003"/>
      <c r="T8" s="1006"/>
      <c r="U8" s="992"/>
      <c r="V8" s="992"/>
      <c r="W8" s="992"/>
      <c r="X8" s="992"/>
      <c r="Y8" s="992"/>
      <c r="Z8" s="992"/>
      <c r="AA8" s="1000"/>
      <c r="AB8" s="998"/>
      <c r="AC8" s="992"/>
      <c r="AD8" s="992"/>
      <c r="AE8" s="992"/>
      <c r="AF8" s="992"/>
      <c r="AG8" s="63"/>
      <c r="AH8" s="63"/>
      <c r="AI8" s="69"/>
      <c r="AJ8" s="70"/>
      <c r="AK8" s="63"/>
      <c r="AL8" s="63"/>
      <c r="AM8" s="63"/>
      <c r="AN8" s="992"/>
      <c r="AO8" s="992"/>
      <c r="AP8" s="789" t="s">
        <v>1064</v>
      </c>
    </row>
    <row r="9" spans="1:58" ht="36" x14ac:dyDescent="0.25">
      <c r="A9" s="1009"/>
      <c r="B9" s="828"/>
      <c r="C9" s="1009"/>
      <c r="D9" s="808"/>
      <c r="E9" s="808"/>
      <c r="F9" s="905" t="s">
        <v>1065</v>
      </c>
      <c r="G9" s="299">
        <v>0</v>
      </c>
      <c r="H9" s="888" t="s">
        <v>1066</v>
      </c>
      <c r="I9" s="259" t="s">
        <v>1067</v>
      </c>
      <c r="J9" s="64"/>
      <c r="K9" s="65"/>
      <c r="L9" s="64"/>
      <c r="M9" s="65"/>
      <c r="N9" s="64"/>
      <c r="O9" s="65"/>
      <c r="P9" s="64"/>
      <c r="Q9" s="65"/>
      <c r="R9" s="66"/>
      <c r="S9" s="1003"/>
      <c r="T9" s="1006"/>
      <c r="U9" s="992"/>
      <c r="V9" s="992"/>
      <c r="W9" s="992"/>
      <c r="X9" s="992"/>
      <c r="Y9" s="992"/>
      <c r="Z9" s="992"/>
      <c r="AA9" s="1000"/>
      <c r="AB9" s="998"/>
      <c r="AC9" s="992"/>
      <c r="AD9" s="992"/>
      <c r="AE9" s="992"/>
      <c r="AF9" s="992"/>
      <c r="AG9" s="63"/>
      <c r="AH9" s="63"/>
      <c r="AI9" s="71"/>
      <c r="AJ9" s="70"/>
      <c r="AK9" s="63"/>
      <c r="AL9" s="63"/>
      <c r="AM9" s="63"/>
      <c r="AN9" s="992"/>
      <c r="AO9" s="992"/>
      <c r="AP9" s="789"/>
    </row>
    <row r="10" spans="1:58" ht="91.5" customHeight="1" x14ac:dyDescent="0.25">
      <c r="A10" s="1009"/>
      <c r="B10" s="828"/>
      <c r="C10" s="1009"/>
      <c r="D10" s="808"/>
      <c r="E10" s="808"/>
      <c r="F10" s="905"/>
      <c r="G10" s="299"/>
      <c r="H10" s="888"/>
      <c r="I10" s="259" t="s">
        <v>1068</v>
      </c>
      <c r="J10" s="64"/>
      <c r="K10" s="65"/>
      <c r="L10" s="64"/>
      <c r="M10" s="65"/>
      <c r="N10" s="64"/>
      <c r="O10" s="65"/>
      <c r="P10" s="64"/>
      <c r="Q10" s="65"/>
      <c r="R10" s="66"/>
      <c r="S10" s="1003"/>
      <c r="T10" s="1006"/>
      <c r="U10" s="992"/>
      <c r="V10" s="992"/>
      <c r="W10" s="992"/>
      <c r="X10" s="992"/>
      <c r="Y10" s="992"/>
      <c r="Z10" s="992"/>
      <c r="AA10" s="1000"/>
      <c r="AB10" s="998"/>
      <c r="AC10" s="992"/>
      <c r="AD10" s="992"/>
      <c r="AE10" s="992"/>
      <c r="AF10" s="992"/>
      <c r="AG10" s="63"/>
      <c r="AH10" s="63"/>
      <c r="AI10" s="71"/>
      <c r="AJ10" s="70"/>
      <c r="AK10" s="63"/>
      <c r="AL10" s="63"/>
      <c r="AM10" s="63"/>
      <c r="AN10" s="992"/>
      <c r="AO10" s="992"/>
      <c r="AP10" s="789"/>
    </row>
    <row r="11" spans="1:58" ht="91.5" customHeight="1" x14ac:dyDescent="0.25">
      <c r="A11" s="1009"/>
      <c r="B11" s="828"/>
      <c r="C11" s="1009"/>
      <c r="D11" s="808"/>
      <c r="E11" s="808"/>
      <c r="F11" s="905"/>
      <c r="G11" s="299" t="s">
        <v>1069</v>
      </c>
      <c r="H11" s="259" t="s">
        <v>1070</v>
      </c>
      <c r="I11" s="259" t="s">
        <v>1071</v>
      </c>
      <c r="J11" s="64"/>
      <c r="K11" s="65"/>
      <c r="L11" s="64"/>
      <c r="M11" s="65"/>
      <c r="N11" s="64"/>
      <c r="O11" s="65"/>
      <c r="P11" s="64"/>
      <c r="Q11" s="65"/>
      <c r="R11" s="66"/>
      <c r="S11" s="1003"/>
      <c r="T11" s="1006"/>
      <c r="U11" s="992"/>
      <c r="V11" s="992"/>
      <c r="W11" s="992"/>
      <c r="X11" s="992"/>
      <c r="Y11" s="992"/>
      <c r="Z11" s="992"/>
      <c r="AA11" s="1000"/>
      <c r="AB11" s="998"/>
      <c r="AC11" s="992"/>
      <c r="AD11" s="992"/>
      <c r="AE11" s="992"/>
      <c r="AF11" s="992"/>
      <c r="AG11" s="63"/>
      <c r="AH11" s="63"/>
      <c r="AI11" s="71"/>
      <c r="AJ11" s="70"/>
      <c r="AK11" s="63"/>
      <c r="AL11" s="63"/>
      <c r="AM11" s="63"/>
      <c r="AN11" s="992"/>
      <c r="AO11" s="992"/>
      <c r="AP11" s="789"/>
    </row>
    <row r="12" spans="1:58" ht="91.5" customHeight="1" x14ac:dyDescent="0.25">
      <c r="A12" s="1009"/>
      <c r="B12" s="828"/>
      <c r="C12" s="1009"/>
      <c r="D12" s="808"/>
      <c r="E12" s="808"/>
      <c r="F12" s="994"/>
      <c r="G12" s="357" t="s">
        <v>1069</v>
      </c>
      <c r="H12" s="360" t="s">
        <v>1072</v>
      </c>
      <c r="I12" s="357" t="s">
        <v>1073</v>
      </c>
      <c r="J12" s="479"/>
      <c r="K12" s="65"/>
      <c r="L12" s="64"/>
      <c r="M12" s="65"/>
      <c r="N12" s="64"/>
      <c r="O12" s="65"/>
      <c r="P12" s="64"/>
      <c r="Q12" s="65"/>
      <c r="R12" s="66"/>
      <c r="S12" s="1003"/>
      <c r="T12" s="1006"/>
      <c r="U12" s="992"/>
      <c r="V12" s="992"/>
      <c r="W12" s="992"/>
      <c r="X12" s="992"/>
      <c r="Y12" s="992"/>
      <c r="Z12" s="992"/>
      <c r="AA12" s="1000"/>
      <c r="AB12" s="998"/>
      <c r="AC12" s="992"/>
      <c r="AD12" s="992"/>
      <c r="AE12" s="992"/>
      <c r="AF12" s="992"/>
      <c r="AG12" s="63"/>
      <c r="AH12" s="63"/>
      <c r="AI12" s="71"/>
      <c r="AJ12" s="70"/>
      <c r="AK12" s="63"/>
      <c r="AL12" s="63"/>
      <c r="AM12" s="63"/>
      <c r="AN12" s="992"/>
      <c r="AO12" s="992"/>
      <c r="AP12" s="789"/>
    </row>
    <row r="13" spans="1:58" ht="24.75" customHeight="1" thickBot="1" x14ac:dyDescent="0.3">
      <c r="A13" s="1009"/>
      <c r="B13" s="828"/>
      <c r="C13" s="1009"/>
      <c r="D13" s="808"/>
      <c r="E13" s="808"/>
      <c r="F13" s="904" t="s">
        <v>1074</v>
      </c>
      <c r="G13" s="300" t="s">
        <v>1075</v>
      </c>
      <c r="H13" s="370" t="s">
        <v>1076</v>
      </c>
      <c r="I13" s="275" t="s">
        <v>1077</v>
      </c>
      <c r="J13" s="64"/>
      <c r="K13" s="65"/>
      <c r="L13" s="64"/>
      <c r="M13" s="65"/>
      <c r="N13" s="64"/>
      <c r="O13" s="65"/>
      <c r="P13" s="64"/>
      <c r="Q13" s="65"/>
      <c r="R13" s="66"/>
      <c r="S13" s="1003"/>
      <c r="T13" s="1006"/>
      <c r="U13" s="992"/>
      <c r="V13" s="992"/>
      <c r="W13" s="992"/>
      <c r="X13" s="992"/>
      <c r="Y13" s="992"/>
      <c r="Z13" s="992"/>
      <c r="AA13" s="1000"/>
      <c r="AB13" s="998"/>
      <c r="AC13" s="992"/>
      <c r="AD13" s="992"/>
      <c r="AE13" s="992"/>
      <c r="AF13" s="992"/>
      <c r="AG13" s="63"/>
      <c r="AH13" s="63"/>
      <c r="AI13" s="69"/>
      <c r="AJ13" s="70"/>
      <c r="AK13" s="63"/>
      <c r="AL13" s="63"/>
      <c r="AM13" s="63"/>
      <c r="AN13" s="992"/>
      <c r="AO13" s="992"/>
      <c r="AP13" s="835" t="s">
        <v>1078</v>
      </c>
    </row>
    <row r="14" spans="1:58" ht="15.75" thickBot="1" x14ac:dyDescent="0.3">
      <c r="A14" s="1009"/>
      <c r="B14" s="828"/>
      <c r="C14" s="1009"/>
      <c r="D14" s="808"/>
      <c r="E14" s="808"/>
      <c r="F14" s="905"/>
      <c r="G14" s="300"/>
      <c r="H14" s="480"/>
      <c r="I14" s="334" t="s">
        <v>1079</v>
      </c>
      <c r="J14" s="479"/>
      <c r="K14" s="65"/>
      <c r="L14" s="64"/>
      <c r="M14" s="65"/>
      <c r="N14" s="64"/>
      <c r="O14" s="65"/>
      <c r="P14" s="64"/>
      <c r="Q14" s="65"/>
      <c r="R14" s="66"/>
      <c r="S14" s="1003"/>
      <c r="T14" s="1006"/>
      <c r="U14" s="992"/>
      <c r="V14" s="992"/>
      <c r="W14" s="992"/>
      <c r="X14" s="992"/>
      <c r="Y14" s="992"/>
      <c r="Z14" s="992"/>
      <c r="AA14" s="1000"/>
      <c r="AB14" s="998"/>
      <c r="AC14" s="992"/>
      <c r="AD14" s="992"/>
      <c r="AE14" s="992"/>
      <c r="AF14" s="992"/>
      <c r="AG14" s="63"/>
      <c r="AH14" s="63"/>
      <c r="AI14" s="69"/>
      <c r="AJ14" s="70"/>
      <c r="AK14" s="63"/>
      <c r="AL14" s="63"/>
      <c r="AM14" s="63"/>
      <c r="AN14" s="992"/>
      <c r="AO14" s="992"/>
      <c r="AP14" s="835"/>
    </row>
    <row r="15" spans="1:58" ht="24.75" thickBot="1" x14ac:dyDescent="0.3">
      <c r="A15" s="1009"/>
      <c r="B15" s="828"/>
      <c r="C15" s="1009"/>
      <c r="D15" s="808"/>
      <c r="E15" s="808"/>
      <c r="F15" s="905"/>
      <c r="G15" s="300"/>
      <c r="H15" s="887" t="s">
        <v>1080</v>
      </c>
      <c r="I15" s="287" t="s">
        <v>1081</v>
      </c>
      <c r="J15" s="61"/>
      <c r="K15" s="61"/>
      <c r="L15" s="61"/>
      <c r="M15" s="61"/>
      <c r="N15" s="61"/>
      <c r="O15" s="61"/>
      <c r="P15" s="61"/>
      <c r="Q15" s="61"/>
      <c r="R15" s="61"/>
      <c r="S15" s="1003"/>
      <c r="T15" s="1006"/>
      <c r="U15" s="992"/>
      <c r="V15" s="992"/>
      <c r="W15" s="992"/>
      <c r="X15" s="992"/>
      <c r="Y15" s="992"/>
      <c r="Z15" s="992"/>
      <c r="AA15" s="1000"/>
      <c r="AB15" s="998"/>
      <c r="AC15" s="992"/>
      <c r="AD15" s="992"/>
      <c r="AE15" s="992"/>
      <c r="AF15" s="992"/>
      <c r="AG15" s="61"/>
      <c r="AH15" s="61"/>
      <c r="AI15" s="61"/>
      <c r="AJ15" s="61"/>
      <c r="AK15" s="61"/>
      <c r="AL15" s="61"/>
      <c r="AM15" s="61"/>
      <c r="AN15" s="992"/>
      <c r="AO15" s="992"/>
      <c r="AP15" s="835"/>
    </row>
    <row r="16" spans="1:58" ht="15.75" thickBot="1" x14ac:dyDescent="0.3">
      <c r="A16" s="1009"/>
      <c r="B16" s="828"/>
      <c r="C16" s="1009"/>
      <c r="D16" s="808"/>
      <c r="E16" s="808"/>
      <c r="F16" s="905"/>
      <c r="G16" s="300"/>
      <c r="H16" s="889"/>
      <c r="I16" s="287" t="s">
        <v>1082</v>
      </c>
      <c r="J16" s="61"/>
      <c r="K16" s="61"/>
      <c r="L16" s="61"/>
      <c r="M16" s="61"/>
      <c r="N16" s="61"/>
      <c r="O16" s="61"/>
      <c r="P16" s="61"/>
      <c r="Q16" s="61"/>
      <c r="R16" s="61"/>
      <c r="S16" s="1003"/>
      <c r="T16" s="1006"/>
      <c r="U16" s="992"/>
      <c r="V16" s="992"/>
      <c r="W16" s="992"/>
      <c r="X16" s="992"/>
      <c r="Y16" s="992"/>
      <c r="Z16" s="992"/>
      <c r="AA16" s="1000"/>
      <c r="AB16" s="998"/>
      <c r="AC16" s="992"/>
      <c r="AD16" s="992"/>
      <c r="AE16" s="992"/>
      <c r="AF16" s="992"/>
      <c r="AG16" s="61"/>
      <c r="AH16" s="61"/>
      <c r="AI16" s="61"/>
      <c r="AJ16" s="61"/>
      <c r="AK16" s="61"/>
      <c r="AL16" s="61"/>
      <c r="AM16" s="61"/>
      <c r="AN16" s="992"/>
      <c r="AO16" s="992"/>
      <c r="AP16" s="835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</row>
    <row r="17" spans="1:58" ht="24" x14ac:dyDescent="0.25">
      <c r="A17" s="1009"/>
      <c r="B17" s="828"/>
      <c r="C17" s="1009"/>
      <c r="D17" s="808"/>
      <c r="E17" s="808"/>
      <c r="F17" s="481" t="s">
        <v>1083</v>
      </c>
      <c r="G17" s="299">
        <v>0</v>
      </c>
      <c r="H17" s="259" t="s">
        <v>1084</v>
      </c>
      <c r="I17" s="275" t="s">
        <v>1085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004"/>
      <c r="T17" s="1007"/>
      <c r="U17" s="993"/>
      <c r="V17" s="993"/>
      <c r="W17" s="993"/>
      <c r="X17" s="993"/>
      <c r="Y17" s="993"/>
      <c r="Z17" s="993"/>
      <c r="AA17" s="1001"/>
      <c r="AB17" s="998"/>
      <c r="AC17" s="993"/>
      <c r="AD17" s="993"/>
      <c r="AE17" s="993"/>
      <c r="AF17" s="993"/>
      <c r="AG17" s="170"/>
      <c r="AH17" s="170"/>
      <c r="AI17" s="170"/>
      <c r="AJ17" s="170"/>
      <c r="AK17" s="170"/>
      <c r="AL17" s="170"/>
      <c r="AM17" s="170"/>
      <c r="AN17" s="992"/>
      <c r="AO17" s="992"/>
      <c r="AP17" s="835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</row>
    <row r="18" spans="1:58" s="61" customFormat="1" ht="24.75" thickBot="1" x14ac:dyDescent="0.3">
      <c r="A18" s="1009"/>
      <c r="B18" s="828"/>
      <c r="C18" s="1009"/>
      <c r="D18" s="808"/>
      <c r="E18" s="809"/>
      <c r="F18" s="316"/>
      <c r="G18" s="357">
        <v>0</v>
      </c>
      <c r="H18" s="319" t="s">
        <v>1086</v>
      </c>
      <c r="I18" s="334" t="s">
        <v>1087</v>
      </c>
      <c r="S18" s="482">
        <v>250000000</v>
      </c>
      <c r="T18" s="314"/>
      <c r="U18" s="314"/>
      <c r="V18" s="314"/>
      <c r="W18" s="314"/>
      <c r="X18" s="314"/>
      <c r="Y18" s="314"/>
      <c r="Z18" s="483">
        <v>250000000</v>
      </c>
      <c r="AA18" s="314">
        <v>100</v>
      </c>
      <c r="AB18" s="482">
        <v>125000000</v>
      </c>
      <c r="AC18" s="314">
        <v>50</v>
      </c>
      <c r="AD18" s="314"/>
      <c r="AE18" s="314"/>
      <c r="AF18" s="314"/>
      <c r="AK18" s="211">
        <v>125000000</v>
      </c>
      <c r="AL18" s="61">
        <v>50</v>
      </c>
      <c r="AN18" s="992"/>
      <c r="AO18" s="992"/>
      <c r="AP18" s="484" t="s">
        <v>1088</v>
      </c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</row>
    <row r="19" spans="1:58" ht="50.25" customHeight="1" x14ac:dyDescent="0.25">
      <c r="A19" s="1009"/>
      <c r="B19" s="828"/>
      <c r="C19" s="1009"/>
      <c r="D19" s="808"/>
      <c r="E19" s="804" t="s">
        <v>1089</v>
      </c>
      <c r="F19" s="995" t="s">
        <v>1090</v>
      </c>
      <c r="G19" s="996" t="s">
        <v>1091</v>
      </c>
      <c r="H19" s="995" t="s">
        <v>1092</v>
      </c>
      <c r="I19" s="485" t="s">
        <v>1093</v>
      </c>
      <c r="J19" s="989"/>
      <c r="K19" s="850"/>
      <c r="L19" s="989"/>
      <c r="M19" s="850"/>
      <c r="N19" s="989"/>
      <c r="O19" s="486"/>
      <c r="P19" s="487"/>
      <c r="Q19" s="486"/>
      <c r="R19" s="488"/>
      <c r="S19" s="489" t="s">
        <v>1094</v>
      </c>
      <c r="T19" s="490"/>
      <c r="U19" s="486"/>
      <c r="V19" s="491"/>
      <c r="W19" s="486"/>
      <c r="X19" s="491"/>
      <c r="Y19" s="486"/>
      <c r="Z19" s="491"/>
      <c r="AA19" s="486"/>
      <c r="AB19" s="492">
        <f>(127691579)*4</f>
        <v>510766316</v>
      </c>
      <c r="AC19" s="486"/>
      <c r="AD19" s="493">
        <f>(2628183518)*4</f>
        <v>10512734072</v>
      </c>
      <c r="AE19" s="486"/>
      <c r="AF19" s="494">
        <v>2342207</v>
      </c>
      <c r="AG19" s="495"/>
      <c r="AH19" s="491"/>
      <c r="AI19" s="496"/>
      <c r="AJ19" s="497"/>
      <c r="AK19" s="493">
        <f>(3679248051.8)*4</f>
        <v>14716992207.200001</v>
      </c>
      <c r="AL19" s="495"/>
      <c r="AM19" s="495"/>
      <c r="AN19" s="992"/>
      <c r="AO19" s="992"/>
      <c r="AP19" s="306" t="s">
        <v>1095</v>
      </c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</row>
    <row r="20" spans="1:58" ht="24" x14ac:dyDescent="0.25">
      <c r="A20" s="1009"/>
      <c r="B20" s="828"/>
      <c r="C20" s="1009"/>
      <c r="D20" s="808"/>
      <c r="E20" s="804"/>
      <c r="F20" s="995"/>
      <c r="G20" s="997"/>
      <c r="H20" s="995"/>
      <c r="I20" s="498" t="s">
        <v>1096</v>
      </c>
      <c r="J20" s="990"/>
      <c r="K20" s="852"/>
      <c r="L20" s="990"/>
      <c r="M20" s="852"/>
      <c r="N20" s="990"/>
      <c r="O20" s="65"/>
      <c r="P20" s="64"/>
      <c r="Q20" s="65"/>
      <c r="R20" s="66"/>
      <c r="S20" s="499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2"/>
      <c r="AG20" s="63"/>
      <c r="AH20" s="63"/>
      <c r="AI20" s="71"/>
      <c r="AJ20" s="70"/>
      <c r="AK20" s="63"/>
      <c r="AL20" s="63"/>
      <c r="AM20" s="63"/>
      <c r="AN20" s="992"/>
      <c r="AO20" s="992"/>
      <c r="AP20" s="500" t="s">
        <v>1097</v>
      </c>
    </row>
    <row r="21" spans="1:58" ht="36" x14ac:dyDescent="0.25">
      <c r="A21" s="1009"/>
      <c r="B21" s="828"/>
      <c r="C21" s="1009"/>
      <c r="D21" s="808"/>
      <c r="E21" s="788" t="s">
        <v>1098</v>
      </c>
      <c r="F21" s="789" t="s">
        <v>1099</v>
      </c>
      <c r="G21" s="63"/>
      <c r="H21" s="367" t="s">
        <v>1100</v>
      </c>
      <c r="I21" s="367" t="s">
        <v>1101</v>
      </c>
      <c r="J21" s="64"/>
      <c r="K21" s="65"/>
      <c r="L21" s="64"/>
      <c r="M21" s="65"/>
      <c r="N21" s="64"/>
      <c r="O21" s="65"/>
      <c r="P21" s="64"/>
      <c r="Q21" s="65"/>
      <c r="R21" s="66"/>
      <c r="S21" s="987">
        <f>T21+X21+Z21</f>
        <v>726600408</v>
      </c>
      <c r="T21" s="986">
        <v>242200136</v>
      </c>
      <c r="U21" s="850">
        <v>0.25</v>
      </c>
      <c r="V21" s="986">
        <v>242200136</v>
      </c>
      <c r="W21" s="850">
        <v>0.25</v>
      </c>
      <c r="X21" s="986">
        <v>242200136</v>
      </c>
      <c r="Y21" s="850">
        <v>0.25</v>
      </c>
      <c r="Z21" s="986">
        <v>242200136</v>
      </c>
      <c r="AA21" s="850">
        <v>0.25</v>
      </c>
      <c r="AB21" s="68"/>
      <c r="AC21" s="65"/>
      <c r="AD21" s="68"/>
      <c r="AE21" s="65"/>
      <c r="AF21" s="788">
        <v>234205</v>
      </c>
      <c r="AG21" s="63"/>
      <c r="AH21" s="63"/>
      <c r="AI21" s="71"/>
      <c r="AJ21" s="70"/>
      <c r="AK21" s="63"/>
      <c r="AL21" s="63"/>
      <c r="AM21" s="63"/>
      <c r="AN21" s="992"/>
      <c r="AO21" s="992"/>
      <c r="AP21" s="367" t="s">
        <v>1088</v>
      </c>
    </row>
    <row r="22" spans="1:58" ht="36" x14ac:dyDescent="0.25">
      <c r="A22" s="1009"/>
      <c r="B22" s="828"/>
      <c r="C22" s="1009"/>
      <c r="D22" s="808"/>
      <c r="E22" s="789"/>
      <c r="F22" s="789"/>
      <c r="G22" s="63"/>
      <c r="H22" s="367" t="s">
        <v>1102</v>
      </c>
      <c r="I22" s="367" t="s">
        <v>1103</v>
      </c>
      <c r="J22" s="64"/>
      <c r="K22" s="65"/>
      <c r="L22" s="64"/>
      <c r="M22" s="65"/>
      <c r="N22" s="64"/>
      <c r="O22" s="65"/>
      <c r="P22" s="64"/>
      <c r="Q22" s="65"/>
      <c r="R22" s="66"/>
      <c r="S22" s="987"/>
      <c r="T22" s="987"/>
      <c r="U22" s="851"/>
      <c r="V22" s="987"/>
      <c r="W22" s="851"/>
      <c r="X22" s="987"/>
      <c r="Y22" s="851"/>
      <c r="Z22" s="987"/>
      <c r="AA22" s="851"/>
      <c r="AB22" s="68"/>
      <c r="AC22" s="65"/>
      <c r="AD22" s="68"/>
      <c r="AE22" s="65"/>
      <c r="AF22" s="789"/>
      <c r="AG22" s="63"/>
      <c r="AH22" s="63"/>
      <c r="AI22" s="71"/>
      <c r="AJ22" s="70"/>
      <c r="AK22" s="63"/>
      <c r="AL22" s="63"/>
      <c r="AM22" s="63"/>
      <c r="AN22" s="992"/>
      <c r="AO22" s="992"/>
      <c r="AP22" s="367" t="s">
        <v>1104</v>
      </c>
    </row>
    <row r="23" spans="1:58" ht="36" x14ac:dyDescent="0.25">
      <c r="A23" s="1010"/>
      <c r="B23" s="829"/>
      <c r="C23" s="1010"/>
      <c r="D23" s="809"/>
      <c r="E23" s="830"/>
      <c r="F23" s="830"/>
      <c r="G23" s="367"/>
      <c r="H23" s="367" t="s">
        <v>1105</v>
      </c>
      <c r="I23" s="367" t="s">
        <v>1106</v>
      </c>
      <c r="J23" s="64"/>
      <c r="K23" s="65"/>
      <c r="L23" s="64"/>
      <c r="M23" s="65"/>
      <c r="N23" s="64"/>
      <c r="O23" s="65"/>
      <c r="P23" s="64"/>
      <c r="Q23" s="65"/>
      <c r="R23" s="66"/>
      <c r="S23" s="988"/>
      <c r="T23" s="988"/>
      <c r="U23" s="852"/>
      <c r="V23" s="988"/>
      <c r="W23" s="852"/>
      <c r="X23" s="988"/>
      <c r="Y23" s="852"/>
      <c r="Z23" s="988"/>
      <c r="AA23" s="852"/>
      <c r="AB23" s="68"/>
      <c r="AC23" s="65"/>
      <c r="AD23" s="68"/>
      <c r="AE23" s="65"/>
      <c r="AF23" s="830"/>
      <c r="AG23" s="63"/>
      <c r="AH23" s="63"/>
      <c r="AI23" s="69"/>
      <c r="AJ23" s="70"/>
      <c r="AK23" s="63"/>
      <c r="AL23" s="63"/>
      <c r="AM23" s="63"/>
      <c r="AN23" s="993"/>
      <c r="AO23" s="993"/>
      <c r="AP23" s="367" t="s">
        <v>1107</v>
      </c>
    </row>
    <row r="25" spans="1:58" x14ac:dyDescent="0.25">
      <c r="S25" s="501"/>
    </row>
    <row r="26" spans="1:58" x14ac:dyDescent="0.25">
      <c r="S26" s="502">
        <v>572576000</v>
      </c>
    </row>
    <row r="27" spans="1:58" x14ac:dyDescent="0.25">
      <c r="S27" s="502">
        <v>250000000</v>
      </c>
    </row>
    <row r="28" spans="1:58" x14ac:dyDescent="0.25">
      <c r="S28" s="502">
        <v>25740492595</v>
      </c>
    </row>
    <row r="29" spans="1:58" x14ac:dyDescent="0.25">
      <c r="S29" s="502">
        <v>726600408</v>
      </c>
    </row>
    <row r="30" spans="1:58" x14ac:dyDescent="0.25">
      <c r="R30" s="53" t="s">
        <v>1108</v>
      </c>
      <c r="S30" s="493">
        <f>SUM(S26:S29)</f>
        <v>27289669003</v>
      </c>
    </row>
    <row r="31" spans="1:58" x14ac:dyDescent="0.25">
      <c r="R31" s="53" t="s">
        <v>1109</v>
      </c>
      <c r="S31" s="503">
        <f>S30/4</f>
        <v>6822417250.75</v>
      </c>
    </row>
    <row r="33" ht="59.25" customHeight="1" x14ac:dyDescent="0.25"/>
    <row r="34" ht="111.75" customHeight="1" x14ac:dyDescent="0.25"/>
    <row r="35" ht="127.5" customHeight="1" x14ac:dyDescent="0.25"/>
    <row r="36" ht="137.25" customHeight="1" x14ac:dyDescent="0.25"/>
    <row r="40" ht="164.25" customHeight="1" x14ac:dyDescent="0.25"/>
    <row r="44" ht="157.5" customHeight="1" x14ac:dyDescent="0.25"/>
  </sheetData>
  <mergeCells count="7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  <mergeCell ref="A4:A23"/>
    <mergeCell ref="B4:B23"/>
    <mergeCell ref="C4:C23"/>
    <mergeCell ref="D4:D23"/>
    <mergeCell ref="E4:E18"/>
    <mergeCell ref="E19:E20"/>
    <mergeCell ref="F4:F8"/>
    <mergeCell ref="S4:S17"/>
    <mergeCell ref="T4:T17"/>
    <mergeCell ref="U4:U17"/>
    <mergeCell ref="V4:V17"/>
    <mergeCell ref="W4:W17"/>
    <mergeCell ref="X4:X17"/>
    <mergeCell ref="Y4:Y17"/>
    <mergeCell ref="Z4:Z17"/>
    <mergeCell ref="AA4:AA17"/>
    <mergeCell ref="AB4:AB17"/>
    <mergeCell ref="AC4:AC17"/>
    <mergeCell ref="AD4:AD17"/>
    <mergeCell ref="AE4:AE17"/>
    <mergeCell ref="AF4:AF17"/>
    <mergeCell ref="AN4:AN23"/>
    <mergeCell ref="AO4:AO23"/>
    <mergeCell ref="I6:I8"/>
    <mergeCell ref="AP8:AP12"/>
    <mergeCell ref="F9:F12"/>
    <mergeCell ref="H9:H10"/>
    <mergeCell ref="F13:F16"/>
    <mergeCell ref="AP13:AP17"/>
    <mergeCell ref="H15:H16"/>
    <mergeCell ref="F19:F20"/>
    <mergeCell ref="G19:G20"/>
    <mergeCell ref="H19:H20"/>
    <mergeCell ref="J19:J20"/>
    <mergeCell ref="K19:K20"/>
    <mergeCell ref="L19:L20"/>
    <mergeCell ref="M19:M20"/>
    <mergeCell ref="N19:N20"/>
    <mergeCell ref="E21:E23"/>
    <mergeCell ref="F21:F23"/>
    <mergeCell ref="S21:S23"/>
    <mergeCell ref="T21:T23"/>
    <mergeCell ref="Z21:Z23"/>
    <mergeCell ref="AA21:AA23"/>
    <mergeCell ref="AF21:AF23"/>
    <mergeCell ref="U21:U23"/>
    <mergeCell ref="V21:V23"/>
    <mergeCell ref="W21:W23"/>
    <mergeCell ref="X21:X23"/>
    <mergeCell ref="Y21:Y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opLeftCell="E4" workbookViewId="0">
      <selection activeCell="H9" sqref="H9"/>
    </sheetView>
  </sheetViews>
  <sheetFormatPr baseColWidth="10" defaultRowHeight="15" x14ac:dyDescent="0.25"/>
  <cols>
    <col min="1" max="1" width="14.28515625" style="53" customWidth="1"/>
    <col min="2" max="2" width="14.7109375" customWidth="1"/>
    <col min="3" max="3" width="16.7109375" customWidth="1"/>
    <col min="4" max="4" width="31.28515625" customWidth="1"/>
    <col min="5" max="5" width="18.28515625" customWidth="1"/>
    <col min="6" max="6" width="22.85546875" customWidth="1"/>
    <col min="8" max="8" width="21.140625" customWidth="1"/>
    <col min="10" max="10" width="11.42578125" style="53"/>
  </cols>
  <sheetData>
    <row r="1" spans="1:43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1015" t="s">
        <v>12</v>
      </c>
      <c r="K1" s="253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6"/>
      <c r="AO1" s="654" t="s">
        <v>15</v>
      </c>
      <c r="AP1" s="655"/>
      <c r="AQ1" s="656"/>
    </row>
    <row r="2" spans="1:43" ht="15" customHeight="1" x14ac:dyDescent="0.25">
      <c r="A2" s="940"/>
      <c r="B2" s="649"/>
      <c r="C2" s="649"/>
      <c r="D2" s="649"/>
      <c r="E2" s="649"/>
      <c r="F2" s="649"/>
      <c r="G2" s="649"/>
      <c r="H2" s="649"/>
      <c r="I2" s="653"/>
      <c r="J2" s="1016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53"/>
      <c r="AO2" s="657"/>
      <c r="AP2" s="658"/>
      <c r="AQ2" s="659"/>
    </row>
    <row r="3" spans="1:43" ht="24.75" customHeight="1" thickBot="1" x14ac:dyDescent="0.3">
      <c r="A3" s="941"/>
      <c r="B3" s="678"/>
      <c r="C3" s="678"/>
      <c r="D3" s="678"/>
      <c r="E3" s="678"/>
      <c r="F3" s="678"/>
      <c r="G3" s="678"/>
      <c r="H3" s="678"/>
      <c r="I3" s="680"/>
      <c r="J3" s="1017"/>
      <c r="K3" s="256" t="s">
        <v>21</v>
      </c>
      <c r="L3" s="254" t="s">
        <v>22</v>
      </c>
      <c r="M3" s="254" t="s">
        <v>21</v>
      </c>
      <c r="N3" s="254" t="s">
        <v>22</v>
      </c>
      <c r="O3" s="254" t="s">
        <v>21</v>
      </c>
      <c r="P3" s="254" t="s">
        <v>22</v>
      </c>
      <c r="Q3" s="254" t="s">
        <v>21</v>
      </c>
      <c r="R3" s="254" t="s">
        <v>22</v>
      </c>
      <c r="S3" s="669"/>
      <c r="T3" s="667"/>
      <c r="U3" s="256" t="s">
        <v>23</v>
      </c>
      <c r="V3" s="254" t="s">
        <v>22</v>
      </c>
      <c r="W3" s="254" t="s">
        <v>23</v>
      </c>
      <c r="X3" s="254" t="s">
        <v>22</v>
      </c>
      <c r="Y3" s="254" t="s">
        <v>23</v>
      </c>
      <c r="Z3" s="254" t="s">
        <v>22</v>
      </c>
      <c r="AA3" s="254" t="s">
        <v>23</v>
      </c>
      <c r="AB3" s="255" t="s">
        <v>22</v>
      </c>
      <c r="AC3" s="256" t="s">
        <v>23</v>
      </c>
      <c r="AD3" s="254" t="s">
        <v>22</v>
      </c>
      <c r="AE3" s="254" t="s">
        <v>23</v>
      </c>
      <c r="AF3" s="254" t="s">
        <v>22</v>
      </c>
      <c r="AG3" s="254" t="s">
        <v>24</v>
      </c>
      <c r="AH3" s="254" t="s">
        <v>23</v>
      </c>
      <c r="AI3" s="254" t="s">
        <v>22</v>
      </c>
      <c r="AJ3" s="59" t="s">
        <v>23</v>
      </c>
      <c r="AK3" s="59" t="s">
        <v>22</v>
      </c>
      <c r="AL3" s="257" t="s">
        <v>23</v>
      </c>
      <c r="AM3" s="254" t="s">
        <v>22</v>
      </c>
      <c r="AN3" s="79" t="s">
        <v>25</v>
      </c>
      <c r="AO3" s="252" t="s">
        <v>109</v>
      </c>
      <c r="AP3" s="252" t="s">
        <v>113</v>
      </c>
      <c r="AQ3" s="252" t="s">
        <v>111</v>
      </c>
    </row>
    <row r="4" spans="1:43" ht="75" customHeight="1" thickBot="1" x14ac:dyDescent="0.3">
      <c r="B4" s="272"/>
      <c r="C4" s="272"/>
      <c r="D4" s="527"/>
      <c r="E4" s="519" t="s">
        <v>1135</v>
      </c>
      <c r="F4" s="294" t="s">
        <v>1134</v>
      </c>
      <c r="G4" s="295">
        <v>0</v>
      </c>
      <c r="H4" s="294" t="s">
        <v>1137</v>
      </c>
      <c r="I4" s="296" t="s">
        <v>1135</v>
      </c>
      <c r="J4" s="521">
        <v>16000000</v>
      </c>
      <c r="K4" s="64"/>
      <c r="L4" s="65"/>
      <c r="M4" s="64"/>
      <c r="N4" s="65"/>
      <c r="O4" s="64"/>
      <c r="P4" s="65"/>
      <c r="Q4" s="64"/>
      <c r="R4" s="65"/>
      <c r="S4" s="66"/>
      <c r="T4" s="67"/>
      <c r="U4" s="68"/>
      <c r="V4" s="65"/>
      <c r="W4" s="68"/>
      <c r="X4" s="65"/>
      <c r="Y4" s="68"/>
      <c r="Z4" s="65"/>
      <c r="AA4" s="68"/>
      <c r="AB4" s="65"/>
      <c r="AC4" s="68"/>
      <c r="AD4" s="65"/>
      <c r="AE4" s="68"/>
      <c r="AF4" s="65"/>
      <c r="AG4" s="63"/>
      <c r="AH4" s="63"/>
      <c r="AI4" s="63"/>
      <c r="AJ4" s="69"/>
      <c r="AK4" s="70"/>
      <c r="AL4" s="63"/>
      <c r="AM4" s="63"/>
      <c r="AN4" s="63"/>
      <c r="AO4" s="517" t="s">
        <v>1132</v>
      </c>
      <c r="AP4" s="517" t="s">
        <v>901</v>
      </c>
      <c r="AQ4" s="297" t="s">
        <v>811</v>
      </c>
    </row>
    <row r="5" spans="1:43" ht="132.75" thickBot="1" x14ac:dyDescent="0.3">
      <c r="A5" s="517" t="s">
        <v>901</v>
      </c>
      <c r="B5" s="517" t="s">
        <v>1132</v>
      </c>
      <c r="C5" s="529" t="s">
        <v>1147</v>
      </c>
      <c r="D5" s="527" t="s">
        <v>1133</v>
      </c>
      <c r="E5" s="290"/>
      <c r="F5" s="294" t="s">
        <v>1136</v>
      </c>
      <c r="G5" s="295">
        <v>0.7</v>
      </c>
      <c r="H5" s="294" t="s">
        <v>1138</v>
      </c>
      <c r="I5" s="278" t="s">
        <v>1135</v>
      </c>
      <c r="J5" s="521">
        <v>500000</v>
      </c>
      <c r="K5" s="64"/>
      <c r="L5" s="65"/>
      <c r="M5" s="64"/>
      <c r="N5" s="65"/>
      <c r="O5" s="64"/>
      <c r="P5" s="65"/>
      <c r="Q5" s="64"/>
      <c r="R5" s="65"/>
      <c r="S5" s="66"/>
      <c r="T5" s="67"/>
      <c r="U5" s="68"/>
      <c r="V5" s="65"/>
      <c r="W5" s="68"/>
      <c r="X5" s="65"/>
      <c r="Y5" s="68"/>
      <c r="Z5" s="65"/>
      <c r="AA5" s="68"/>
      <c r="AB5" s="65"/>
      <c r="AC5" s="68"/>
      <c r="AD5" s="65"/>
      <c r="AE5" s="68"/>
      <c r="AF5" s="65"/>
      <c r="AG5" s="63"/>
      <c r="AH5" s="63"/>
      <c r="AI5" s="68"/>
      <c r="AJ5" s="69"/>
      <c r="AK5" s="70"/>
      <c r="AL5" s="63"/>
      <c r="AM5" s="63"/>
      <c r="AN5" s="63"/>
      <c r="AO5" s="517" t="s">
        <v>1132</v>
      </c>
      <c r="AP5" s="517" t="s">
        <v>901</v>
      </c>
      <c r="AQ5" s="297" t="s">
        <v>812</v>
      </c>
    </row>
    <row r="6" spans="1:43" ht="72.75" thickBot="1" x14ac:dyDescent="0.3">
      <c r="B6" s="270"/>
      <c r="C6" s="262"/>
      <c r="D6" s="526"/>
      <c r="E6" s="520" t="s">
        <v>1135</v>
      </c>
      <c r="F6" s="294" t="s">
        <v>1139</v>
      </c>
      <c r="G6" s="298">
        <v>11</v>
      </c>
      <c r="H6" s="294" t="s">
        <v>1140</v>
      </c>
      <c r="I6" s="266" t="s">
        <v>790</v>
      </c>
      <c r="J6" s="521">
        <v>20000</v>
      </c>
      <c r="K6" s="64"/>
      <c r="L6" s="65"/>
      <c r="M6" s="64"/>
      <c r="N6" s="65"/>
      <c r="O6" s="64"/>
      <c r="P6" s="65"/>
      <c r="Q6" s="64"/>
      <c r="R6" s="65"/>
      <c r="S6" s="66"/>
      <c r="T6" s="67"/>
      <c r="U6" s="68"/>
      <c r="V6" s="65"/>
      <c r="W6" s="68"/>
      <c r="X6" s="65"/>
      <c r="Y6" s="68"/>
      <c r="Z6" s="65"/>
      <c r="AA6" s="68"/>
      <c r="AB6" s="65"/>
      <c r="AC6" s="68"/>
      <c r="AD6" s="65"/>
      <c r="AE6" s="68"/>
      <c r="AF6" s="65"/>
      <c r="AG6" s="63"/>
      <c r="AH6" s="63"/>
      <c r="AI6" s="63"/>
      <c r="AJ6" s="71"/>
      <c r="AK6" s="70"/>
      <c r="AL6" s="63"/>
      <c r="AM6" s="63"/>
      <c r="AN6" s="63"/>
      <c r="AO6" s="517" t="s">
        <v>1132</v>
      </c>
      <c r="AP6" s="517" t="s">
        <v>901</v>
      </c>
      <c r="AQ6" s="518" t="s">
        <v>810</v>
      </c>
    </row>
    <row r="7" spans="1:43" ht="72.75" thickBot="1" x14ac:dyDescent="0.3">
      <c r="A7" s="270"/>
      <c r="B7" s="270"/>
      <c r="C7" s="270"/>
      <c r="D7" s="955"/>
      <c r="E7" s="887" t="s">
        <v>1135</v>
      </c>
      <c r="F7" s="294" t="s">
        <v>1141</v>
      </c>
      <c r="G7" s="551">
        <v>12</v>
      </c>
      <c r="H7" s="294" t="s">
        <v>1142</v>
      </c>
      <c r="I7" s="296" t="s">
        <v>1142</v>
      </c>
      <c r="J7" s="521">
        <v>40000</v>
      </c>
      <c r="K7" s="64"/>
      <c r="L7" s="65"/>
      <c r="M7" s="64"/>
      <c r="N7" s="65"/>
      <c r="O7" s="64"/>
      <c r="P7" s="65"/>
      <c r="Q7" s="64"/>
      <c r="R7" s="65"/>
      <c r="S7" s="66"/>
      <c r="T7" s="67"/>
      <c r="U7" s="68"/>
      <c r="V7" s="65"/>
      <c r="W7" s="68"/>
      <c r="X7" s="65"/>
      <c r="Y7" s="68"/>
      <c r="Z7" s="65"/>
      <c r="AA7" s="68"/>
      <c r="AB7" s="65"/>
      <c r="AC7" s="68"/>
      <c r="AD7" s="65"/>
      <c r="AE7" s="68"/>
      <c r="AF7" s="65"/>
      <c r="AG7" s="63"/>
      <c r="AH7" s="63"/>
      <c r="AI7" s="63"/>
      <c r="AJ7" s="69"/>
      <c r="AK7" s="70"/>
      <c r="AL7" s="63"/>
      <c r="AM7" s="63"/>
      <c r="AN7" s="63"/>
      <c r="AO7" s="517" t="s">
        <v>1132</v>
      </c>
      <c r="AP7" s="517" t="s">
        <v>901</v>
      </c>
      <c r="AQ7" s="297" t="s">
        <v>813</v>
      </c>
    </row>
    <row r="8" spans="1:43" ht="150" customHeight="1" thickBot="1" x14ac:dyDescent="0.3">
      <c r="A8" s="270"/>
      <c r="B8" s="270"/>
      <c r="C8" s="262"/>
      <c r="D8" s="930"/>
      <c r="E8" s="930"/>
      <c r="F8" s="294" t="s">
        <v>1143</v>
      </c>
      <c r="G8" s="298">
        <v>215</v>
      </c>
      <c r="H8" s="294" t="s">
        <v>1144</v>
      </c>
      <c r="I8" s="294" t="s">
        <v>1144</v>
      </c>
      <c r="J8" s="521">
        <v>705000</v>
      </c>
      <c r="K8" s="64"/>
      <c r="L8" s="65"/>
      <c r="M8" s="64"/>
      <c r="N8" s="65"/>
      <c r="O8" s="64"/>
      <c r="P8" s="65"/>
      <c r="Q8" s="64"/>
      <c r="R8" s="65"/>
      <c r="S8" s="66"/>
      <c r="T8" s="67"/>
      <c r="U8" s="68"/>
      <c r="V8" s="65"/>
      <c r="W8" s="68"/>
      <c r="X8" s="65"/>
      <c r="Y8" s="68"/>
      <c r="Z8" s="65"/>
      <c r="AA8" s="68"/>
      <c r="AB8" s="65"/>
      <c r="AC8" s="68"/>
      <c r="AD8" s="65"/>
      <c r="AE8" s="68"/>
      <c r="AF8" s="65"/>
      <c r="AG8" s="63"/>
      <c r="AH8" s="63"/>
      <c r="AI8" s="63"/>
      <c r="AJ8" s="71"/>
      <c r="AK8" s="70"/>
      <c r="AL8" s="63"/>
      <c r="AM8" s="63"/>
      <c r="AN8" s="63"/>
      <c r="AO8" s="517" t="s">
        <v>1132</v>
      </c>
      <c r="AP8" s="517" t="s">
        <v>901</v>
      </c>
      <c r="AQ8" s="518" t="s">
        <v>813</v>
      </c>
    </row>
    <row r="9" spans="1:43" ht="98.25" customHeight="1" thickBot="1" x14ac:dyDescent="0.3">
      <c r="A9" s="260"/>
      <c r="B9" s="260"/>
      <c r="C9" s="260"/>
      <c r="D9" s="1012"/>
      <c r="E9" s="955"/>
      <c r="F9" s="520" t="s">
        <v>1145</v>
      </c>
      <c r="G9" s="298">
        <v>1</v>
      </c>
      <c r="H9" s="294" t="s">
        <v>1146</v>
      </c>
      <c r="I9" s="296" t="s">
        <v>1146</v>
      </c>
      <c r="J9" s="521">
        <v>100000</v>
      </c>
      <c r="K9" s="64"/>
      <c r="L9" s="65"/>
      <c r="M9" s="64"/>
      <c r="N9" s="65"/>
      <c r="O9" s="64"/>
      <c r="P9" s="65"/>
      <c r="Q9" s="64"/>
      <c r="R9" s="65"/>
      <c r="S9" s="66"/>
      <c r="T9" s="67"/>
      <c r="U9" s="68"/>
      <c r="V9" s="65"/>
      <c r="W9" s="68"/>
      <c r="X9" s="65"/>
      <c r="Y9" s="68"/>
      <c r="Z9" s="65"/>
      <c r="AA9" s="68"/>
      <c r="AB9" s="65"/>
      <c r="AC9" s="68"/>
      <c r="AD9" s="65"/>
      <c r="AE9" s="68"/>
      <c r="AF9" s="65"/>
      <c r="AG9" s="63"/>
      <c r="AH9" s="63"/>
      <c r="AI9" s="63"/>
      <c r="AJ9" s="71"/>
      <c r="AK9" s="70"/>
      <c r="AL9" s="63"/>
      <c r="AM9" s="63"/>
      <c r="AN9" s="63"/>
      <c r="AO9" s="517" t="s">
        <v>1132</v>
      </c>
      <c r="AP9" s="517" t="s">
        <v>901</v>
      </c>
      <c r="AQ9" s="518" t="s">
        <v>1148</v>
      </c>
    </row>
    <row r="10" spans="1:43" ht="15.75" thickBot="1" x14ac:dyDescent="0.3">
      <c r="A10" s="269"/>
      <c r="B10" s="269"/>
      <c r="C10" s="269"/>
      <c r="D10" s="1013"/>
      <c r="E10" s="888"/>
      <c r="F10" s="298"/>
      <c r="G10" s="298"/>
      <c r="H10" s="294"/>
      <c r="I10" s="294"/>
      <c r="J10" s="528"/>
      <c r="K10" s="64"/>
      <c r="L10" s="65"/>
      <c r="M10" s="64"/>
      <c r="N10" s="65"/>
      <c r="O10" s="64"/>
      <c r="P10" s="65"/>
      <c r="Q10" s="64"/>
      <c r="R10" s="65"/>
      <c r="S10" s="66"/>
      <c r="T10" s="67"/>
      <c r="U10" s="68"/>
      <c r="V10" s="65"/>
      <c r="W10" s="68"/>
      <c r="X10" s="65"/>
      <c r="Y10" s="68"/>
      <c r="Z10" s="65"/>
      <c r="AA10" s="68"/>
      <c r="AB10" s="65"/>
      <c r="AC10" s="68"/>
      <c r="AD10" s="65"/>
      <c r="AE10" s="68"/>
      <c r="AF10" s="65"/>
      <c r="AG10" s="63"/>
      <c r="AH10" s="63"/>
      <c r="AI10" s="63"/>
      <c r="AJ10" s="69"/>
      <c r="AK10" s="70"/>
      <c r="AL10" s="63"/>
      <c r="AM10" s="63"/>
      <c r="AN10" s="63"/>
      <c r="AO10" s="517"/>
      <c r="AP10" s="517"/>
      <c r="AQ10" s="297"/>
    </row>
    <row r="11" spans="1:43" ht="15.75" thickBot="1" x14ac:dyDescent="0.3">
      <c r="A11" s="246"/>
      <c r="B11" s="246"/>
      <c r="C11" s="263"/>
      <c r="D11" s="1014"/>
      <c r="E11" s="930"/>
      <c r="F11" s="298"/>
      <c r="G11" s="298"/>
      <c r="H11" s="294"/>
      <c r="I11" s="294"/>
      <c r="J11" s="528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517"/>
      <c r="AP11" s="517"/>
      <c r="AQ11" s="297"/>
    </row>
  </sheetData>
  <mergeCells count="33">
    <mergeCell ref="AC2:AD2"/>
    <mergeCell ref="AE2:AG2"/>
    <mergeCell ref="AH2:AI2"/>
    <mergeCell ref="AJ2:AK2"/>
    <mergeCell ref="AL2:AN2"/>
    <mergeCell ref="A1:A3"/>
    <mergeCell ref="AC1:AN1"/>
    <mergeCell ref="AO1:AQ2"/>
    <mergeCell ref="K2:L2"/>
    <mergeCell ref="M2:N2"/>
    <mergeCell ref="O2:P2"/>
    <mergeCell ref="Q2:R2"/>
    <mergeCell ref="U2:V2"/>
    <mergeCell ref="W2:X2"/>
    <mergeCell ref="Y2:Z2"/>
    <mergeCell ref="AA2:AB2"/>
    <mergeCell ref="H1:H3"/>
    <mergeCell ref="I1:I3"/>
    <mergeCell ref="L1:R1"/>
    <mergeCell ref="S1:S3"/>
    <mergeCell ref="T1:T3"/>
    <mergeCell ref="B1:B3"/>
    <mergeCell ref="C1:C3"/>
    <mergeCell ref="D1:D3"/>
    <mergeCell ref="E1:E3"/>
    <mergeCell ref="F1:F3"/>
    <mergeCell ref="D7:D8"/>
    <mergeCell ref="E7:E8"/>
    <mergeCell ref="D9:D11"/>
    <mergeCell ref="E9:E11"/>
    <mergeCell ref="U1:AB1"/>
    <mergeCell ref="G1:G3"/>
    <mergeCell ref="J1:J3"/>
  </mergeCell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topLeftCell="A4" workbookViewId="0">
      <selection activeCell="S1" sqref="S1:S3"/>
    </sheetView>
  </sheetViews>
  <sheetFormatPr baseColWidth="10" defaultRowHeight="15" x14ac:dyDescent="0.25"/>
  <cols>
    <col min="1" max="1" width="25.42578125" style="53" customWidth="1"/>
    <col min="2" max="2" width="16.28515625" style="53" customWidth="1"/>
    <col min="3" max="3" width="36" style="53" bestFit="1" customWidth="1"/>
    <col min="4" max="4" width="50.7109375" style="53" customWidth="1"/>
    <col min="5" max="5" width="13.5703125" style="53" customWidth="1"/>
    <col min="6" max="6" width="16.140625" style="53" customWidth="1"/>
    <col min="7" max="7" width="2.5703125" style="53" customWidth="1"/>
    <col min="8" max="8" width="11" style="510" customWidth="1"/>
    <col min="9" max="9" width="19.28515625" style="53" bestFit="1" customWidth="1"/>
    <col min="10" max="10" width="19" style="53" bestFit="1" customWidth="1"/>
    <col min="11" max="11" width="3.7109375" style="53" customWidth="1"/>
    <col min="12" max="12" width="4.42578125" style="53" bestFit="1" customWidth="1"/>
    <col min="13" max="13" width="3.42578125" style="53" bestFit="1" customWidth="1"/>
    <col min="14" max="14" width="4.42578125" style="53" bestFit="1" customWidth="1"/>
    <col min="15" max="15" width="3.42578125" style="53" bestFit="1" customWidth="1"/>
    <col min="16" max="16" width="4.42578125" style="53" bestFit="1" customWidth="1"/>
    <col min="17" max="17" width="3.42578125" style="53" bestFit="1" customWidth="1"/>
    <col min="18" max="18" width="4.42578125" style="53" bestFit="1" customWidth="1"/>
    <col min="19" max="19" width="17" style="53" bestFit="1" customWidth="1"/>
    <col min="20" max="20" width="11.42578125" style="53"/>
    <col min="21" max="21" width="5.28515625" style="53" bestFit="1" customWidth="1"/>
    <col min="22" max="22" width="11.42578125" style="53"/>
    <col min="23" max="23" width="5.28515625" style="53" bestFit="1" customWidth="1"/>
    <col min="24" max="24" width="11.42578125" style="53"/>
    <col min="25" max="25" width="5.28515625" style="53" bestFit="1" customWidth="1"/>
    <col min="26" max="26" width="11.42578125" style="53"/>
    <col min="27" max="27" width="5.28515625" style="53" bestFit="1" customWidth="1"/>
    <col min="28" max="28" width="11.42578125" style="53"/>
    <col min="29" max="29" width="4.140625" style="53" bestFit="1" customWidth="1"/>
    <col min="30" max="30" width="11.42578125" style="53"/>
    <col min="31" max="31" width="3.140625" style="53" bestFit="1" customWidth="1"/>
    <col min="32" max="32" width="14.140625" style="53" bestFit="1" customWidth="1"/>
    <col min="33" max="33" width="11.42578125" style="53"/>
    <col min="34" max="34" width="2.7109375" style="53" bestFit="1" customWidth="1"/>
    <col min="35" max="35" width="11.42578125" style="53"/>
    <col min="36" max="36" width="3.140625" style="53" bestFit="1" customWidth="1"/>
    <col min="37" max="37" width="16.42578125" style="53" bestFit="1" customWidth="1"/>
    <col min="38" max="38" width="22.42578125" style="53" customWidth="1"/>
    <col min="39" max="256" width="11.42578125" style="53"/>
    <col min="257" max="257" width="25.42578125" style="53" customWidth="1"/>
    <col min="258" max="258" width="16.28515625" style="53" customWidth="1"/>
    <col min="259" max="259" width="36" style="53" bestFit="1" customWidth="1"/>
    <col min="260" max="260" width="50.7109375" style="53" customWidth="1"/>
    <col min="261" max="261" width="13.5703125" style="53" customWidth="1"/>
    <col min="262" max="262" width="16.140625" style="53" customWidth="1"/>
    <col min="263" max="263" width="2.5703125" style="53" customWidth="1"/>
    <col min="264" max="264" width="11" style="53" customWidth="1"/>
    <col min="265" max="265" width="19.28515625" style="53" bestFit="1" customWidth="1"/>
    <col min="266" max="266" width="19" style="53" bestFit="1" customWidth="1"/>
    <col min="267" max="267" width="3.7109375" style="53" customWidth="1"/>
    <col min="268" max="268" width="4.42578125" style="53" bestFit="1" customWidth="1"/>
    <col min="269" max="269" width="3.42578125" style="53" bestFit="1" customWidth="1"/>
    <col min="270" max="270" width="4.42578125" style="53" bestFit="1" customWidth="1"/>
    <col min="271" max="271" width="3.42578125" style="53" bestFit="1" customWidth="1"/>
    <col min="272" max="272" width="4.42578125" style="53" bestFit="1" customWidth="1"/>
    <col min="273" max="273" width="3.42578125" style="53" bestFit="1" customWidth="1"/>
    <col min="274" max="274" width="4.42578125" style="53" bestFit="1" customWidth="1"/>
    <col min="275" max="275" width="17" style="53" bestFit="1" customWidth="1"/>
    <col min="276" max="276" width="11.42578125" style="53"/>
    <col min="277" max="277" width="5.28515625" style="53" bestFit="1" customWidth="1"/>
    <col min="278" max="278" width="11.42578125" style="53"/>
    <col min="279" max="279" width="5.28515625" style="53" bestFit="1" customWidth="1"/>
    <col min="280" max="280" width="11.42578125" style="53"/>
    <col min="281" max="281" width="5.28515625" style="53" bestFit="1" customWidth="1"/>
    <col min="282" max="282" width="11.42578125" style="53"/>
    <col min="283" max="283" width="5.28515625" style="53" bestFit="1" customWidth="1"/>
    <col min="284" max="284" width="11.42578125" style="53"/>
    <col min="285" max="285" width="4.140625" style="53" bestFit="1" customWidth="1"/>
    <col min="286" max="286" width="11.42578125" style="53"/>
    <col min="287" max="287" width="3.140625" style="53" bestFit="1" customWidth="1"/>
    <col min="288" max="288" width="14.140625" style="53" bestFit="1" customWidth="1"/>
    <col min="289" max="289" width="11.42578125" style="53"/>
    <col min="290" max="290" width="2.7109375" style="53" bestFit="1" customWidth="1"/>
    <col min="291" max="291" width="11.42578125" style="53"/>
    <col min="292" max="292" width="3.140625" style="53" bestFit="1" customWidth="1"/>
    <col min="293" max="293" width="16.42578125" style="53" bestFit="1" customWidth="1"/>
    <col min="294" max="294" width="22.42578125" style="53" customWidth="1"/>
    <col min="295" max="512" width="11.42578125" style="53"/>
    <col min="513" max="513" width="25.42578125" style="53" customWidth="1"/>
    <col min="514" max="514" width="16.28515625" style="53" customWidth="1"/>
    <col min="515" max="515" width="36" style="53" bestFit="1" customWidth="1"/>
    <col min="516" max="516" width="50.7109375" style="53" customWidth="1"/>
    <col min="517" max="517" width="13.5703125" style="53" customWidth="1"/>
    <col min="518" max="518" width="16.140625" style="53" customWidth="1"/>
    <col min="519" max="519" width="2.5703125" style="53" customWidth="1"/>
    <col min="520" max="520" width="11" style="53" customWidth="1"/>
    <col min="521" max="521" width="19.28515625" style="53" bestFit="1" customWidth="1"/>
    <col min="522" max="522" width="19" style="53" bestFit="1" customWidth="1"/>
    <col min="523" max="523" width="3.7109375" style="53" customWidth="1"/>
    <col min="524" max="524" width="4.42578125" style="53" bestFit="1" customWidth="1"/>
    <col min="525" max="525" width="3.42578125" style="53" bestFit="1" customWidth="1"/>
    <col min="526" max="526" width="4.42578125" style="53" bestFit="1" customWidth="1"/>
    <col min="527" max="527" width="3.42578125" style="53" bestFit="1" customWidth="1"/>
    <col min="528" max="528" width="4.42578125" style="53" bestFit="1" customWidth="1"/>
    <col min="529" max="529" width="3.42578125" style="53" bestFit="1" customWidth="1"/>
    <col min="530" max="530" width="4.42578125" style="53" bestFit="1" customWidth="1"/>
    <col min="531" max="531" width="17" style="53" bestFit="1" customWidth="1"/>
    <col min="532" max="532" width="11.42578125" style="53"/>
    <col min="533" max="533" width="5.28515625" style="53" bestFit="1" customWidth="1"/>
    <col min="534" max="534" width="11.42578125" style="53"/>
    <col min="535" max="535" width="5.28515625" style="53" bestFit="1" customWidth="1"/>
    <col min="536" max="536" width="11.42578125" style="53"/>
    <col min="537" max="537" width="5.28515625" style="53" bestFit="1" customWidth="1"/>
    <col min="538" max="538" width="11.42578125" style="53"/>
    <col min="539" max="539" width="5.28515625" style="53" bestFit="1" customWidth="1"/>
    <col min="540" max="540" width="11.42578125" style="53"/>
    <col min="541" max="541" width="4.140625" style="53" bestFit="1" customWidth="1"/>
    <col min="542" max="542" width="11.42578125" style="53"/>
    <col min="543" max="543" width="3.140625" style="53" bestFit="1" customWidth="1"/>
    <col min="544" max="544" width="14.140625" style="53" bestFit="1" customWidth="1"/>
    <col min="545" max="545" width="11.42578125" style="53"/>
    <col min="546" max="546" width="2.7109375" style="53" bestFit="1" customWidth="1"/>
    <col min="547" max="547" width="11.42578125" style="53"/>
    <col min="548" max="548" width="3.140625" style="53" bestFit="1" customWidth="1"/>
    <col min="549" max="549" width="16.42578125" style="53" bestFit="1" customWidth="1"/>
    <col min="550" max="550" width="22.42578125" style="53" customWidth="1"/>
    <col min="551" max="768" width="11.42578125" style="53"/>
    <col min="769" max="769" width="25.42578125" style="53" customWidth="1"/>
    <col min="770" max="770" width="16.28515625" style="53" customWidth="1"/>
    <col min="771" max="771" width="36" style="53" bestFit="1" customWidth="1"/>
    <col min="772" max="772" width="50.7109375" style="53" customWidth="1"/>
    <col min="773" max="773" width="13.5703125" style="53" customWidth="1"/>
    <col min="774" max="774" width="16.140625" style="53" customWidth="1"/>
    <col min="775" max="775" width="2.5703125" style="53" customWidth="1"/>
    <col min="776" max="776" width="11" style="53" customWidth="1"/>
    <col min="777" max="777" width="19.28515625" style="53" bestFit="1" customWidth="1"/>
    <col min="778" max="778" width="19" style="53" bestFit="1" customWidth="1"/>
    <col min="779" max="779" width="3.7109375" style="53" customWidth="1"/>
    <col min="780" max="780" width="4.42578125" style="53" bestFit="1" customWidth="1"/>
    <col min="781" max="781" width="3.42578125" style="53" bestFit="1" customWidth="1"/>
    <col min="782" max="782" width="4.42578125" style="53" bestFit="1" customWidth="1"/>
    <col min="783" max="783" width="3.42578125" style="53" bestFit="1" customWidth="1"/>
    <col min="784" max="784" width="4.42578125" style="53" bestFit="1" customWidth="1"/>
    <col min="785" max="785" width="3.42578125" style="53" bestFit="1" customWidth="1"/>
    <col min="786" max="786" width="4.42578125" style="53" bestFit="1" customWidth="1"/>
    <col min="787" max="787" width="17" style="53" bestFit="1" customWidth="1"/>
    <col min="788" max="788" width="11.42578125" style="53"/>
    <col min="789" max="789" width="5.28515625" style="53" bestFit="1" customWidth="1"/>
    <col min="790" max="790" width="11.42578125" style="53"/>
    <col min="791" max="791" width="5.28515625" style="53" bestFit="1" customWidth="1"/>
    <col min="792" max="792" width="11.42578125" style="53"/>
    <col min="793" max="793" width="5.28515625" style="53" bestFit="1" customWidth="1"/>
    <col min="794" max="794" width="11.42578125" style="53"/>
    <col min="795" max="795" width="5.28515625" style="53" bestFit="1" customWidth="1"/>
    <col min="796" max="796" width="11.42578125" style="53"/>
    <col min="797" max="797" width="4.140625" style="53" bestFit="1" customWidth="1"/>
    <col min="798" max="798" width="11.42578125" style="53"/>
    <col min="799" max="799" width="3.140625" style="53" bestFit="1" customWidth="1"/>
    <col min="800" max="800" width="14.140625" style="53" bestFit="1" customWidth="1"/>
    <col min="801" max="801" width="11.42578125" style="53"/>
    <col min="802" max="802" width="2.7109375" style="53" bestFit="1" customWidth="1"/>
    <col min="803" max="803" width="11.42578125" style="53"/>
    <col min="804" max="804" width="3.140625" style="53" bestFit="1" customWidth="1"/>
    <col min="805" max="805" width="16.42578125" style="53" bestFit="1" customWidth="1"/>
    <col min="806" max="806" width="22.42578125" style="53" customWidth="1"/>
    <col min="807" max="1024" width="11.42578125" style="53"/>
    <col min="1025" max="1025" width="25.42578125" style="53" customWidth="1"/>
    <col min="1026" max="1026" width="16.28515625" style="53" customWidth="1"/>
    <col min="1027" max="1027" width="36" style="53" bestFit="1" customWidth="1"/>
    <col min="1028" max="1028" width="50.7109375" style="53" customWidth="1"/>
    <col min="1029" max="1029" width="13.5703125" style="53" customWidth="1"/>
    <col min="1030" max="1030" width="16.140625" style="53" customWidth="1"/>
    <col min="1031" max="1031" width="2.5703125" style="53" customWidth="1"/>
    <col min="1032" max="1032" width="11" style="53" customWidth="1"/>
    <col min="1033" max="1033" width="19.28515625" style="53" bestFit="1" customWidth="1"/>
    <col min="1034" max="1034" width="19" style="53" bestFit="1" customWidth="1"/>
    <col min="1035" max="1035" width="3.7109375" style="53" customWidth="1"/>
    <col min="1036" max="1036" width="4.42578125" style="53" bestFit="1" customWidth="1"/>
    <col min="1037" max="1037" width="3.42578125" style="53" bestFit="1" customWidth="1"/>
    <col min="1038" max="1038" width="4.42578125" style="53" bestFit="1" customWidth="1"/>
    <col min="1039" max="1039" width="3.42578125" style="53" bestFit="1" customWidth="1"/>
    <col min="1040" max="1040" width="4.42578125" style="53" bestFit="1" customWidth="1"/>
    <col min="1041" max="1041" width="3.42578125" style="53" bestFit="1" customWidth="1"/>
    <col min="1042" max="1042" width="4.42578125" style="53" bestFit="1" customWidth="1"/>
    <col min="1043" max="1043" width="17" style="53" bestFit="1" customWidth="1"/>
    <col min="1044" max="1044" width="11.42578125" style="53"/>
    <col min="1045" max="1045" width="5.28515625" style="53" bestFit="1" customWidth="1"/>
    <col min="1046" max="1046" width="11.42578125" style="53"/>
    <col min="1047" max="1047" width="5.28515625" style="53" bestFit="1" customWidth="1"/>
    <col min="1048" max="1048" width="11.42578125" style="53"/>
    <col min="1049" max="1049" width="5.28515625" style="53" bestFit="1" customWidth="1"/>
    <col min="1050" max="1050" width="11.42578125" style="53"/>
    <col min="1051" max="1051" width="5.28515625" style="53" bestFit="1" customWidth="1"/>
    <col min="1052" max="1052" width="11.42578125" style="53"/>
    <col min="1053" max="1053" width="4.140625" style="53" bestFit="1" customWidth="1"/>
    <col min="1054" max="1054" width="11.42578125" style="53"/>
    <col min="1055" max="1055" width="3.140625" style="53" bestFit="1" customWidth="1"/>
    <col min="1056" max="1056" width="14.140625" style="53" bestFit="1" customWidth="1"/>
    <col min="1057" max="1057" width="11.42578125" style="53"/>
    <col min="1058" max="1058" width="2.7109375" style="53" bestFit="1" customWidth="1"/>
    <col min="1059" max="1059" width="11.42578125" style="53"/>
    <col min="1060" max="1060" width="3.140625" style="53" bestFit="1" customWidth="1"/>
    <col min="1061" max="1061" width="16.42578125" style="53" bestFit="1" customWidth="1"/>
    <col min="1062" max="1062" width="22.42578125" style="53" customWidth="1"/>
    <col min="1063" max="1280" width="11.42578125" style="53"/>
    <col min="1281" max="1281" width="25.42578125" style="53" customWidth="1"/>
    <col min="1282" max="1282" width="16.28515625" style="53" customWidth="1"/>
    <col min="1283" max="1283" width="36" style="53" bestFit="1" customWidth="1"/>
    <col min="1284" max="1284" width="50.7109375" style="53" customWidth="1"/>
    <col min="1285" max="1285" width="13.5703125" style="53" customWidth="1"/>
    <col min="1286" max="1286" width="16.140625" style="53" customWidth="1"/>
    <col min="1287" max="1287" width="2.5703125" style="53" customWidth="1"/>
    <col min="1288" max="1288" width="11" style="53" customWidth="1"/>
    <col min="1289" max="1289" width="19.28515625" style="53" bestFit="1" customWidth="1"/>
    <col min="1290" max="1290" width="19" style="53" bestFit="1" customWidth="1"/>
    <col min="1291" max="1291" width="3.7109375" style="53" customWidth="1"/>
    <col min="1292" max="1292" width="4.42578125" style="53" bestFit="1" customWidth="1"/>
    <col min="1293" max="1293" width="3.42578125" style="53" bestFit="1" customWidth="1"/>
    <col min="1294" max="1294" width="4.42578125" style="53" bestFit="1" customWidth="1"/>
    <col min="1295" max="1295" width="3.42578125" style="53" bestFit="1" customWidth="1"/>
    <col min="1296" max="1296" width="4.42578125" style="53" bestFit="1" customWidth="1"/>
    <col min="1297" max="1297" width="3.42578125" style="53" bestFit="1" customWidth="1"/>
    <col min="1298" max="1298" width="4.42578125" style="53" bestFit="1" customWidth="1"/>
    <col min="1299" max="1299" width="17" style="53" bestFit="1" customWidth="1"/>
    <col min="1300" max="1300" width="11.42578125" style="53"/>
    <col min="1301" max="1301" width="5.28515625" style="53" bestFit="1" customWidth="1"/>
    <col min="1302" max="1302" width="11.42578125" style="53"/>
    <col min="1303" max="1303" width="5.28515625" style="53" bestFit="1" customWidth="1"/>
    <col min="1304" max="1304" width="11.42578125" style="53"/>
    <col min="1305" max="1305" width="5.28515625" style="53" bestFit="1" customWidth="1"/>
    <col min="1306" max="1306" width="11.42578125" style="53"/>
    <col min="1307" max="1307" width="5.28515625" style="53" bestFit="1" customWidth="1"/>
    <col min="1308" max="1308" width="11.42578125" style="53"/>
    <col min="1309" max="1309" width="4.140625" style="53" bestFit="1" customWidth="1"/>
    <col min="1310" max="1310" width="11.42578125" style="53"/>
    <col min="1311" max="1311" width="3.140625" style="53" bestFit="1" customWidth="1"/>
    <col min="1312" max="1312" width="14.140625" style="53" bestFit="1" customWidth="1"/>
    <col min="1313" max="1313" width="11.42578125" style="53"/>
    <col min="1314" max="1314" width="2.7109375" style="53" bestFit="1" customWidth="1"/>
    <col min="1315" max="1315" width="11.42578125" style="53"/>
    <col min="1316" max="1316" width="3.140625" style="53" bestFit="1" customWidth="1"/>
    <col min="1317" max="1317" width="16.42578125" style="53" bestFit="1" customWidth="1"/>
    <col min="1318" max="1318" width="22.42578125" style="53" customWidth="1"/>
    <col min="1319" max="1536" width="11.42578125" style="53"/>
    <col min="1537" max="1537" width="25.42578125" style="53" customWidth="1"/>
    <col min="1538" max="1538" width="16.28515625" style="53" customWidth="1"/>
    <col min="1539" max="1539" width="36" style="53" bestFit="1" customWidth="1"/>
    <col min="1540" max="1540" width="50.7109375" style="53" customWidth="1"/>
    <col min="1541" max="1541" width="13.5703125" style="53" customWidth="1"/>
    <col min="1542" max="1542" width="16.140625" style="53" customWidth="1"/>
    <col min="1543" max="1543" width="2.5703125" style="53" customWidth="1"/>
    <col min="1544" max="1544" width="11" style="53" customWidth="1"/>
    <col min="1545" max="1545" width="19.28515625" style="53" bestFit="1" customWidth="1"/>
    <col min="1546" max="1546" width="19" style="53" bestFit="1" customWidth="1"/>
    <col min="1547" max="1547" width="3.7109375" style="53" customWidth="1"/>
    <col min="1548" max="1548" width="4.42578125" style="53" bestFit="1" customWidth="1"/>
    <col min="1549" max="1549" width="3.42578125" style="53" bestFit="1" customWidth="1"/>
    <col min="1550" max="1550" width="4.42578125" style="53" bestFit="1" customWidth="1"/>
    <col min="1551" max="1551" width="3.42578125" style="53" bestFit="1" customWidth="1"/>
    <col min="1552" max="1552" width="4.42578125" style="53" bestFit="1" customWidth="1"/>
    <col min="1553" max="1553" width="3.42578125" style="53" bestFit="1" customWidth="1"/>
    <col min="1554" max="1554" width="4.42578125" style="53" bestFit="1" customWidth="1"/>
    <col min="1555" max="1555" width="17" style="53" bestFit="1" customWidth="1"/>
    <col min="1556" max="1556" width="11.42578125" style="53"/>
    <col min="1557" max="1557" width="5.28515625" style="53" bestFit="1" customWidth="1"/>
    <col min="1558" max="1558" width="11.42578125" style="53"/>
    <col min="1559" max="1559" width="5.28515625" style="53" bestFit="1" customWidth="1"/>
    <col min="1560" max="1560" width="11.42578125" style="53"/>
    <col min="1561" max="1561" width="5.28515625" style="53" bestFit="1" customWidth="1"/>
    <col min="1562" max="1562" width="11.42578125" style="53"/>
    <col min="1563" max="1563" width="5.28515625" style="53" bestFit="1" customWidth="1"/>
    <col min="1564" max="1564" width="11.42578125" style="53"/>
    <col min="1565" max="1565" width="4.140625" style="53" bestFit="1" customWidth="1"/>
    <col min="1566" max="1566" width="11.42578125" style="53"/>
    <col min="1567" max="1567" width="3.140625" style="53" bestFit="1" customWidth="1"/>
    <col min="1568" max="1568" width="14.140625" style="53" bestFit="1" customWidth="1"/>
    <col min="1569" max="1569" width="11.42578125" style="53"/>
    <col min="1570" max="1570" width="2.7109375" style="53" bestFit="1" customWidth="1"/>
    <col min="1571" max="1571" width="11.42578125" style="53"/>
    <col min="1572" max="1572" width="3.140625" style="53" bestFit="1" customWidth="1"/>
    <col min="1573" max="1573" width="16.42578125" style="53" bestFit="1" customWidth="1"/>
    <col min="1574" max="1574" width="22.42578125" style="53" customWidth="1"/>
    <col min="1575" max="1792" width="11.42578125" style="53"/>
    <col min="1793" max="1793" width="25.42578125" style="53" customWidth="1"/>
    <col min="1794" max="1794" width="16.28515625" style="53" customWidth="1"/>
    <col min="1795" max="1795" width="36" style="53" bestFit="1" customWidth="1"/>
    <col min="1796" max="1796" width="50.7109375" style="53" customWidth="1"/>
    <col min="1797" max="1797" width="13.5703125" style="53" customWidth="1"/>
    <col min="1798" max="1798" width="16.140625" style="53" customWidth="1"/>
    <col min="1799" max="1799" width="2.5703125" style="53" customWidth="1"/>
    <col min="1800" max="1800" width="11" style="53" customWidth="1"/>
    <col min="1801" max="1801" width="19.28515625" style="53" bestFit="1" customWidth="1"/>
    <col min="1802" max="1802" width="19" style="53" bestFit="1" customWidth="1"/>
    <col min="1803" max="1803" width="3.7109375" style="53" customWidth="1"/>
    <col min="1804" max="1804" width="4.42578125" style="53" bestFit="1" customWidth="1"/>
    <col min="1805" max="1805" width="3.42578125" style="53" bestFit="1" customWidth="1"/>
    <col min="1806" max="1806" width="4.42578125" style="53" bestFit="1" customWidth="1"/>
    <col min="1807" max="1807" width="3.42578125" style="53" bestFit="1" customWidth="1"/>
    <col min="1808" max="1808" width="4.42578125" style="53" bestFit="1" customWidth="1"/>
    <col min="1809" max="1809" width="3.42578125" style="53" bestFit="1" customWidth="1"/>
    <col min="1810" max="1810" width="4.42578125" style="53" bestFit="1" customWidth="1"/>
    <col min="1811" max="1811" width="17" style="53" bestFit="1" customWidth="1"/>
    <col min="1812" max="1812" width="11.42578125" style="53"/>
    <col min="1813" max="1813" width="5.28515625" style="53" bestFit="1" customWidth="1"/>
    <col min="1814" max="1814" width="11.42578125" style="53"/>
    <col min="1815" max="1815" width="5.28515625" style="53" bestFit="1" customWidth="1"/>
    <col min="1816" max="1816" width="11.42578125" style="53"/>
    <col min="1817" max="1817" width="5.28515625" style="53" bestFit="1" customWidth="1"/>
    <col min="1818" max="1818" width="11.42578125" style="53"/>
    <col min="1819" max="1819" width="5.28515625" style="53" bestFit="1" customWidth="1"/>
    <col min="1820" max="1820" width="11.42578125" style="53"/>
    <col min="1821" max="1821" width="4.140625" style="53" bestFit="1" customWidth="1"/>
    <col min="1822" max="1822" width="11.42578125" style="53"/>
    <col min="1823" max="1823" width="3.140625" style="53" bestFit="1" customWidth="1"/>
    <col min="1824" max="1824" width="14.140625" style="53" bestFit="1" customWidth="1"/>
    <col min="1825" max="1825" width="11.42578125" style="53"/>
    <col min="1826" max="1826" width="2.7109375" style="53" bestFit="1" customWidth="1"/>
    <col min="1827" max="1827" width="11.42578125" style="53"/>
    <col min="1828" max="1828" width="3.140625" style="53" bestFit="1" customWidth="1"/>
    <col min="1829" max="1829" width="16.42578125" style="53" bestFit="1" customWidth="1"/>
    <col min="1830" max="1830" width="22.42578125" style="53" customWidth="1"/>
    <col min="1831" max="2048" width="11.42578125" style="53"/>
    <col min="2049" max="2049" width="25.42578125" style="53" customWidth="1"/>
    <col min="2050" max="2050" width="16.28515625" style="53" customWidth="1"/>
    <col min="2051" max="2051" width="36" style="53" bestFit="1" customWidth="1"/>
    <col min="2052" max="2052" width="50.7109375" style="53" customWidth="1"/>
    <col min="2053" max="2053" width="13.5703125" style="53" customWidth="1"/>
    <col min="2054" max="2054" width="16.140625" style="53" customWidth="1"/>
    <col min="2055" max="2055" width="2.5703125" style="53" customWidth="1"/>
    <col min="2056" max="2056" width="11" style="53" customWidth="1"/>
    <col min="2057" max="2057" width="19.28515625" style="53" bestFit="1" customWidth="1"/>
    <col min="2058" max="2058" width="19" style="53" bestFit="1" customWidth="1"/>
    <col min="2059" max="2059" width="3.7109375" style="53" customWidth="1"/>
    <col min="2060" max="2060" width="4.42578125" style="53" bestFit="1" customWidth="1"/>
    <col min="2061" max="2061" width="3.42578125" style="53" bestFit="1" customWidth="1"/>
    <col min="2062" max="2062" width="4.42578125" style="53" bestFit="1" customWidth="1"/>
    <col min="2063" max="2063" width="3.42578125" style="53" bestFit="1" customWidth="1"/>
    <col min="2064" max="2064" width="4.42578125" style="53" bestFit="1" customWidth="1"/>
    <col min="2065" max="2065" width="3.42578125" style="53" bestFit="1" customWidth="1"/>
    <col min="2066" max="2066" width="4.42578125" style="53" bestFit="1" customWidth="1"/>
    <col min="2067" max="2067" width="17" style="53" bestFit="1" customWidth="1"/>
    <col min="2068" max="2068" width="11.42578125" style="53"/>
    <col min="2069" max="2069" width="5.28515625" style="53" bestFit="1" customWidth="1"/>
    <col min="2070" max="2070" width="11.42578125" style="53"/>
    <col min="2071" max="2071" width="5.28515625" style="53" bestFit="1" customWidth="1"/>
    <col min="2072" max="2072" width="11.42578125" style="53"/>
    <col min="2073" max="2073" width="5.28515625" style="53" bestFit="1" customWidth="1"/>
    <col min="2074" max="2074" width="11.42578125" style="53"/>
    <col min="2075" max="2075" width="5.28515625" style="53" bestFit="1" customWidth="1"/>
    <col min="2076" max="2076" width="11.42578125" style="53"/>
    <col min="2077" max="2077" width="4.140625" style="53" bestFit="1" customWidth="1"/>
    <col min="2078" max="2078" width="11.42578125" style="53"/>
    <col min="2079" max="2079" width="3.140625" style="53" bestFit="1" customWidth="1"/>
    <col min="2080" max="2080" width="14.140625" style="53" bestFit="1" customWidth="1"/>
    <col min="2081" max="2081" width="11.42578125" style="53"/>
    <col min="2082" max="2082" width="2.7109375" style="53" bestFit="1" customWidth="1"/>
    <col min="2083" max="2083" width="11.42578125" style="53"/>
    <col min="2084" max="2084" width="3.140625" style="53" bestFit="1" customWidth="1"/>
    <col min="2085" max="2085" width="16.42578125" style="53" bestFit="1" customWidth="1"/>
    <col min="2086" max="2086" width="22.42578125" style="53" customWidth="1"/>
    <col min="2087" max="2304" width="11.42578125" style="53"/>
    <col min="2305" max="2305" width="25.42578125" style="53" customWidth="1"/>
    <col min="2306" max="2306" width="16.28515625" style="53" customWidth="1"/>
    <col min="2307" max="2307" width="36" style="53" bestFit="1" customWidth="1"/>
    <col min="2308" max="2308" width="50.7109375" style="53" customWidth="1"/>
    <col min="2309" max="2309" width="13.5703125" style="53" customWidth="1"/>
    <col min="2310" max="2310" width="16.140625" style="53" customWidth="1"/>
    <col min="2311" max="2311" width="2.5703125" style="53" customWidth="1"/>
    <col min="2312" max="2312" width="11" style="53" customWidth="1"/>
    <col min="2313" max="2313" width="19.28515625" style="53" bestFit="1" customWidth="1"/>
    <col min="2314" max="2314" width="19" style="53" bestFit="1" customWidth="1"/>
    <col min="2315" max="2315" width="3.7109375" style="53" customWidth="1"/>
    <col min="2316" max="2316" width="4.42578125" style="53" bestFit="1" customWidth="1"/>
    <col min="2317" max="2317" width="3.42578125" style="53" bestFit="1" customWidth="1"/>
    <col min="2318" max="2318" width="4.42578125" style="53" bestFit="1" customWidth="1"/>
    <col min="2319" max="2319" width="3.42578125" style="53" bestFit="1" customWidth="1"/>
    <col min="2320" max="2320" width="4.42578125" style="53" bestFit="1" customWidth="1"/>
    <col min="2321" max="2321" width="3.42578125" style="53" bestFit="1" customWidth="1"/>
    <col min="2322" max="2322" width="4.42578125" style="53" bestFit="1" customWidth="1"/>
    <col min="2323" max="2323" width="17" style="53" bestFit="1" customWidth="1"/>
    <col min="2324" max="2324" width="11.42578125" style="53"/>
    <col min="2325" max="2325" width="5.28515625" style="53" bestFit="1" customWidth="1"/>
    <col min="2326" max="2326" width="11.42578125" style="53"/>
    <col min="2327" max="2327" width="5.28515625" style="53" bestFit="1" customWidth="1"/>
    <col min="2328" max="2328" width="11.42578125" style="53"/>
    <col min="2329" max="2329" width="5.28515625" style="53" bestFit="1" customWidth="1"/>
    <col min="2330" max="2330" width="11.42578125" style="53"/>
    <col min="2331" max="2331" width="5.28515625" style="53" bestFit="1" customWidth="1"/>
    <col min="2332" max="2332" width="11.42578125" style="53"/>
    <col min="2333" max="2333" width="4.140625" style="53" bestFit="1" customWidth="1"/>
    <col min="2334" max="2334" width="11.42578125" style="53"/>
    <col min="2335" max="2335" width="3.140625" style="53" bestFit="1" customWidth="1"/>
    <col min="2336" max="2336" width="14.140625" style="53" bestFit="1" customWidth="1"/>
    <col min="2337" max="2337" width="11.42578125" style="53"/>
    <col min="2338" max="2338" width="2.7109375" style="53" bestFit="1" customWidth="1"/>
    <col min="2339" max="2339" width="11.42578125" style="53"/>
    <col min="2340" max="2340" width="3.140625" style="53" bestFit="1" customWidth="1"/>
    <col min="2341" max="2341" width="16.42578125" style="53" bestFit="1" customWidth="1"/>
    <col min="2342" max="2342" width="22.42578125" style="53" customWidth="1"/>
    <col min="2343" max="2560" width="11.42578125" style="53"/>
    <col min="2561" max="2561" width="25.42578125" style="53" customWidth="1"/>
    <col min="2562" max="2562" width="16.28515625" style="53" customWidth="1"/>
    <col min="2563" max="2563" width="36" style="53" bestFit="1" customWidth="1"/>
    <col min="2564" max="2564" width="50.7109375" style="53" customWidth="1"/>
    <col min="2565" max="2565" width="13.5703125" style="53" customWidth="1"/>
    <col min="2566" max="2566" width="16.140625" style="53" customWidth="1"/>
    <col min="2567" max="2567" width="2.5703125" style="53" customWidth="1"/>
    <col min="2568" max="2568" width="11" style="53" customWidth="1"/>
    <col min="2569" max="2569" width="19.28515625" style="53" bestFit="1" customWidth="1"/>
    <col min="2570" max="2570" width="19" style="53" bestFit="1" customWidth="1"/>
    <col min="2571" max="2571" width="3.7109375" style="53" customWidth="1"/>
    <col min="2572" max="2572" width="4.42578125" style="53" bestFit="1" customWidth="1"/>
    <col min="2573" max="2573" width="3.42578125" style="53" bestFit="1" customWidth="1"/>
    <col min="2574" max="2574" width="4.42578125" style="53" bestFit="1" customWidth="1"/>
    <col min="2575" max="2575" width="3.42578125" style="53" bestFit="1" customWidth="1"/>
    <col min="2576" max="2576" width="4.42578125" style="53" bestFit="1" customWidth="1"/>
    <col min="2577" max="2577" width="3.42578125" style="53" bestFit="1" customWidth="1"/>
    <col min="2578" max="2578" width="4.42578125" style="53" bestFit="1" customWidth="1"/>
    <col min="2579" max="2579" width="17" style="53" bestFit="1" customWidth="1"/>
    <col min="2580" max="2580" width="11.42578125" style="53"/>
    <col min="2581" max="2581" width="5.28515625" style="53" bestFit="1" customWidth="1"/>
    <col min="2582" max="2582" width="11.42578125" style="53"/>
    <col min="2583" max="2583" width="5.28515625" style="53" bestFit="1" customWidth="1"/>
    <col min="2584" max="2584" width="11.42578125" style="53"/>
    <col min="2585" max="2585" width="5.28515625" style="53" bestFit="1" customWidth="1"/>
    <col min="2586" max="2586" width="11.42578125" style="53"/>
    <col min="2587" max="2587" width="5.28515625" style="53" bestFit="1" customWidth="1"/>
    <col min="2588" max="2588" width="11.42578125" style="53"/>
    <col min="2589" max="2589" width="4.140625" style="53" bestFit="1" customWidth="1"/>
    <col min="2590" max="2590" width="11.42578125" style="53"/>
    <col min="2591" max="2591" width="3.140625" style="53" bestFit="1" customWidth="1"/>
    <col min="2592" max="2592" width="14.140625" style="53" bestFit="1" customWidth="1"/>
    <col min="2593" max="2593" width="11.42578125" style="53"/>
    <col min="2594" max="2594" width="2.7109375" style="53" bestFit="1" customWidth="1"/>
    <col min="2595" max="2595" width="11.42578125" style="53"/>
    <col min="2596" max="2596" width="3.140625" style="53" bestFit="1" customWidth="1"/>
    <col min="2597" max="2597" width="16.42578125" style="53" bestFit="1" customWidth="1"/>
    <col min="2598" max="2598" width="22.42578125" style="53" customWidth="1"/>
    <col min="2599" max="2816" width="11.42578125" style="53"/>
    <col min="2817" max="2817" width="25.42578125" style="53" customWidth="1"/>
    <col min="2818" max="2818" width="16.28515625" style="53" customWidth="1"/>
    <col min="2819" max="2819" width="36" style="53" bestFit="1" customWidth="1"/>
    <col min="2820" max="2820" width="50.7109375" style="53" customWidth="1"/>
    <col min="2821" max="2821" width="13.5703125" style="53" customWidth="1"/>
    <col min="2822" max="2822" width="16.140625" style="53" customWidth="1"/>
    <col min="2823" max="2823" width="2.5703125" style="53" customWidth="1"/>
    <col min="2824" max="2824" width="11" style="53" customWidth="1"/>
    <col min="2825" max="2825" width="19.28515625" style="53" bestFit="1" customWidth="1"/>
    <col min="2826" max="2826" width="19" style="53" bestFit="1" customWidth="1"/>
    <col min="2827" max="2827" width="3.7109375" style="53" customWidth="1"/>
    <col min="2828" max="2828" width="4.42578125" style="53" bestFit="1" customWidth="1"/>
    <col min="2829" max="2829" width="3.42578125" style="53" bestFit="1" customWidth="1"/>
    <col min="2830" max="2830" width="4.42578125" style="53" bestFit="1" customWidth="1"/>
    <col min="2831" max="2831" width="3.42578125" style="53" bestFit="1" customWidth="1"/>
    <col min="2832" max="2832" width="4.42578125" style="53" bestFit="1" customWidth="1"/>
    <col min="2833" max="2833" width="3.42578125" style="53" bestFit="1" customWidth="1"/>
    <col min="2834" max="2834" width="4.42578125" style="53" bestFit="1" customWidth="1"/>
    <col min="2835" max="2835" width="17" style="53" bestFit="1" customWidth="1"/>
    <col min="2836" max="2836" width="11.42578125" style="53"/>
    <col min="2837" max="2837" width="5.28515625" style="53" bestFit="1" customWidth="1"/>
    <col min="2838" max="2838" width="11.42578125" style="53"/>
    <col min="2839" max="2839" width="5.28515625" style="53" bestFit="1" customWidth="1"/>
    <col min="2840" max="2840" width="11.42578125" style="53"/>
    <col min="2841" max="2841" width="5.28515625" style="53" bestFit="1" customWidth="1"/>
    <col min="2842" max="2842" width="11.42578125" style="53"/>
    <col min="2843" max="2843" width="5.28515625" style="53" bestFit="1" customWidth="1"/>
    <col min="2844" max="2844" width="11.42578125" style="53"/>
    <col min="2845" max="2845" width="4.140625" style="53" bestFit="1" customWidth="1"/>
    <col min="2846" max="2846" width="11.42578125" style="53"/>
    <col min="2847" max="2847" width="3.140625" style="53" bestFit="1" customWidth="1"/>
    <col min="2848" max="2848" width="14.140625" style="53" bestFit="1" customWidth="1"/>
    <col min="2849" max="2849" width="11.42578125" style="53"/>
    <col min="2850" max="2850" width="2.7109375" style="53" bestFit="1" customWidth="1"/>
    <col min="2851" max="2851" width="11.42578125" style="53"/>
    <col min="2852" max="2852" width="3.140625" style="53" bestFit="1" customWidth="1"/>
    <col min="2853" max="2853" width="16.42578125" style="53" bestFit="1" customWidth="1"/>
    <col min="2854" max="2854" width="22.42578125" style="53" customWidth="1"/>
    <col min="2855" max="3072" width="11.42578125" style="53"/>
    <col min="3073" max="3073" width="25.42578125" style="53" customWidth="1"/>
    <col min="3074" max="3074" width="16.28515625" style="53" customWidth="1"/>
    <col min="3075" max="3075" width="36" style="53" bestFit="1" customWidth="1"/>
    <col min="3076" max="3076" width="50.7109375" style="53" customWidth="1"/>
    <col min="3077" max="3077" width="13.5703125" style="53" customWidth="1"/>
    <col min="3078" max="3078" width="16.140625" style="53" customWidth="1"/>
    <col min="3079" max="3079" width="2.5703125" style="53" customWidth="1"/>
    <col min="3080" max="3080" width="11" style="53" customWidth="1"/>
    <col min="3081" max="3081" width="19.28515625" style="53" bestFit="1" customWidth="1"/>
    <col min="3082" max="3082" width="19" style="53" bestFit="1" customWidth="1"/>
    <col min="3083" max="3083" width="3.7109375" style="53" customWidth="1"/>
    <col min="3084" max="3084" width="4.42578125" style="53" bestFit="1" customWidth="1"/>
    <col min="3085" max="3085" width="3.42578125" style="53" bestFit="1" customWidth="1"/>
    <col min="3086" max="3086" width="4.42578125" style="53" bestFit="1" customWidth="1"/>
    <col min="3087" max="3087" width="3.42578125" style="53" bestFit="1" customWidth="1"/>
    <col min="3088" max="3088" width="4.42578125" style="53" bestFit="1" customWidth="1"/>
    <col min="3089" max="3089" width="3.42578125" style="53" bestFit="1" customWidth="1"/>
    <col min="3090" max="3090" width="4.42578125" style="53" bestFit="1" customWidth="1"/>
    <col min="3091" max="3091" width="17" style="53" bestFit="1" customWidth="1"/>
    <col min="3092" max="3092" width="11.42578125" style="53"/>
    <col min="3093" max="3093" width="5.28515625" style="53" bestFit="1" customWidth="1"/>
    <col min="3094" max="3094" width="11.42578125" style="53"/>
    <col min="3095" max="3095" width="5.28515625" style="53" bestFit="1" customWidth="1"/>
    <col min="3096" max="3096" width="11.42578125" style="53"/>
    <col min="3097" max="3097" width="5.28515625" style="53" bestFit="1" customWidth="1"/>
    <col min="3098" max="3098" width="11.42578125" style="53"/>
    <col min="3099" max="3099" width="5.28515625" style="53" bestFit="1" customWidth="1"/>
    <col min="3100" max="3100" width="11.42578125" style="53"/>
    <col min="3101" max="3101" width="4.140625" style="53" bestFit="1" customWidth="1"/>
    <col min="3102" max="3102" width="11.42578125" style="53"/>
    <col min="3103" max="3103" width="3.140625" style="53" bestFit="1" customWidth="1"/>
    <col min="3104" max="3104" width="14.140625" style="53" bestFit="1" customWidth="1"/>
    <col min="3105" max="3105" width="11.42578125" style="53"/>
    <col min="3106" max="3106" width="2.7109375" style="53" bestFit="1" customWidth="1"/>
    <col min="3107" max="3107" width="11.42578125" style="53"/>
    <col min="3108" max="3108" width="3.140625" style="53" bestFit="1" customWidth="1"/>
    <col min="3109" max="3109" width="16.42578125" style="53" bestFit="1" customWidth="1"/>
    <col min="3110" max="3110" width="22.42578125" style="53" customWidth="1"/>
    <col min="3111" max="3328" width="11.42578125" style="53"/>
    <col min="3329" max="3329" width="25.42578125" style="53" customWidth="1"/>
    <col min="3330" max="3330" width="16.28515625" style="53" customWidth="1"/>
    <col min="3331" max="3331" width="36" style="53" bestFit="1" customWidth="1"/>
    <col min="3332" max="3332" width="50.7109375" style="53" customWidth="1"/>
    <col min="3333" max="3333" width="13.5703125" style="53" customWidth="1"/>
    <col min="3334" max="3334" width="16.140625" style="53" customWidth="1"/>
    <col min="3335" max="3335" width="2.5703125" style="53" customWidth="1"/>
    <col min="3336" max="3336" width="11" style="53" customWidth="1"/>
    <col min="3337" max="3337" width="19.28515625" style="53" bestFit="1" customWidth="1"/>
    <col min="3338" max="3338" width="19" style="53" bestFit="1" customWidth="1"/>
    <col min="3339" max="3339" width="3.7109375" style="53" customWidth="1"/>
    <col min="3340" max="3340" width="4.42578125" style="53" bestFit="1" customWidth="1"/>
    <col min="3341" max="3341" width="3.42578125" style="53" bestFit="1" customWidth="1"/>
    <col min="3342" max="3342" width="4.42578125" style="53" bestFit="1" customWidth="1"/>
    <col min="3343" max="3343" width="3.42578125" style="53" bestFit="1" customWidth="1"/>
    <col min="3344" max="3344" width="4.42578125" style="53" bestFit="1" customWidth="1"/>
    <col min="3345" max="3345" width="3.42578125" style="53" bestFit="1" customWidth="1"/>
    <col min="3346" max="3346" width="4.42578125" style="53" bestFit="1" customWidth="1"/>
    <col min="3347" max="3347" width="17" style="53" bestFit="1" customWidth="1"/>
    <col min="3348" max="3348" width="11.42578125" style="53"/>
    <col min="3349" max="3349" width="5.28515625" style="53" bestFit="1" customWidth="1"/>
    <col min="3350" max="3350" width="11.42578125" style="53"/>
    <col min="3351" max="3351" width="5.28515625" style="53" bestFit="1" customWidth="1"/>
    <col min="3352" max="3352" width="11.42578125" style="53"/>
    <col min="3353" max="3353" width="5.28515625" style="53" bestFit="1" customWidth="1"/>
    <col min="3354" max="3354" width="11.42578125" style="53"/>
    <col min="3355" max="3355" width="5.28515625" style="53" bestFit="1" customWidth="1"/>
    <col min="3356" max="3356" width="11.42578125" style="53"/>
    <col min="3357" max="3357" width="4.140625" style="53" bestFit="1" customWidth="1"/>
    <col min="3358" max="3358" width="11.42578125" style="53"/>
    <col min="3359" max="3359" width="3.140625" style="53" bestFit="1" customWidth="1"/>
    <col min="3360" max="3360" width="14.140625" style="53" bestFit="1" customWidth="1"/>
    <col min="3361" max="3361" width="11.42578125" style="53"/>
    <col min="3362" max="3362" width="2.7109375" style="53" bestFit="1" customWidth="1"/>
    <col min="3363" max="3363" width="11.42578125" style="53"/>
    <col min="3364" max="3364" width="3.140625" style="53" bestFit="1" customWidth="1"/>
    <col min="3365" max="3365" width="16.42578125" style="53" bestFit="1" customWidth="1"/>
    <col min="3366" max="3366" width="22.42578125" style="53" customWidth="1"/>
    <col min="3367" max="3584" width="11.42578125" style="53"/>
    <col min="3585" max="3585" width="25.42578125" style="53" customWidth="1"/>
    <col min="3586" max="3586" width="16.28515625" style="53" customWidth="1"/>
    <col min="3587" max="3587" width="36" style="53" bestFit="1" customWidth="1"/>
    <col min="3588" max="3588" width="50.7109375" style="53" customWidth="1"/>
    <col min="3589" max="3589" width="13.5703125" style="53" customWidth="1"/>
    <col min="3590" max="3590" width="16.140625" style="53" customWidth="1"/>
    <col min="3591" max="3591" width="2.5703125" style="53" customWidth="1"/>
    <col min="3592" max="3592" width="11" style="53" customWidth="1"/>
    <col min="3593" max="3593" width="19.28515625" style="53" bestFit="1" customWidth="1"/>
    <col min="3594" max="3594" width="19" style="53" bestFit="1" customWidth="1"/>
    <col min="3595" max="3595" width="3.7109375" style="53" customWidth="1"/>
    <col min="3596" max="3596" width="4.42578125" style="53" bestFit="1" customWidth="1"/>
    <col min="3597" max="3597" width="3.42578125" style="53" bestFit="1" customWidth="1"/>
    <col min="3598" max="3598" width="4.42578125" style="53" bestFit="1" customWidth="1"/>
    <col min="3599" max="3599" width="3.42578125" style="53" bestFit="1" customWidth="1"/>
    <col min="3600" max="3600" width="4.42578125" style="53" bestFit="1" customWidth="1"/>
    <col min="3601" max="3601" width="3.42578125" style="53" bestFit="1" customWidth="1"/>
    <col min="3602" max="3602" width="4.42578125" style="53" bestFit="1" customWidth="1"/>
    <col min="3603" max="3603" width="17" style="53" bestFit="1" customWidth="1"/>
    <col min="3604" max="3604" width="11.42578125" style="53"/>
    <col min="3605" max="3605" width="5.28515625" style="53" bestFit="1" customWidth="1"/>
    <col min="3606" max="3606" width="11.42578125" style="53"/>
    <col min="3607" max="3607" width="5.28515625" style="53" bestFit="1" customWidth="1"/>
    <col min="3608" max="3608" width="11.42578125" style="53"/>
    <col min="3609" max="3609" width="5.28515625" style="53" bestFit="1" customWidth="1"/>
    <col min="3610" max="3610" width="11.42578125" style="53"/>
    <col min="3611" max="3611" width="5.28515625" style="53" bestFit="1" customWidth="1"/>
    <col min="3612" max="3612" width="11.42578125" style="53"/>
    <col min="3613" max="3613" width="4.140625" style="53" bestFit="1" customWidth="1"/>
    <col min="3614" max="3614" width="11.42578125" style="53"/>
    <col min="3615" max="3615" width="3.140625" style="53" bestFit="1" customWidth="1"/>
    <col min="3616" max="3616" width="14.140625" style="53" bestFit="1" customWidth="1"/>
    <col min="3617" max="3617" width="11.42578125" style="53"/>
    <col min="3618" max="3618" width="2.7109375" style="53" bestFit="1" customWidth="1"/>
    <col min="3619" max="3619" width="11.42578125" style="53"/>
    <col min="3620" max="3620" width="3.140625" style="53" bestFit="1" customWidth="1"/>
    <col min="3621" max="3621" width="16.42578125" style="53" bestFit="1" customWidth="1"/>
    <col min="3622" max="3622" width="22.42578125" style="53" customWidth="1"/>
    <col min="3623" max="3840" width="11.42578125" style="53"/>
    <col min="3841" max="3841" width="25.42578125" style="53" customWidth="1"/>
    <col min="3842" max="3842" width="16.28515625" style="53" customWidth="1"/>
    <col min="3843" max="3843" width="36" style="53" bestFit="1" customWidth="1"/>
    <col min="3844" max="3844" width="50.7109375" style="53" customWidth="1"/>
    <col min="3845" max="3845" width="13.5703125" style="53" customWidth="1"/>
    <col min="3846" max="3846" width="16.140625" style="53" customWidth="1"/>
    <col min="3847" max="3847" width="2.5703125" style="53" customWidth="1"/>
    <col min="3848" max="3848" width="11" style="53" customWidth="1"/>
    <col min="3849" max="3849" width="19.28515625" style="53" bestFit="1" customWidth="1"/>
    <col min="3850" max="3850" width="19" style="53" bestFit="1" customWidth="1"/>
    <col min="3851" max="3851" width="3.7109375" style="53" customWidth="1"/>
    <col min="3852" max="3852" width="4.42578125" style="53" bestFit="1" customWidth="1"/>
    <col min="3853" max="3853" width="3.42578125" style="53" bestFit="1" customWidth="1"/>
    <col min="3854" max="3854" width="4.42578125" style="53" bestFit="1" customWidth="1"/>
    <col min="3855" max="3855" width="3.42578125" style="53" bestFit="1" customWidth="1"/>
    <col min="3856" max="3856" width="4.42578125" style="53" bestFit="1" customWidth="1"/>
    <col min="3857" max="3857" width="3.42578125" style="53" bestFit="1" customWidth="1"/>
    <col min="3858" max="3858" width="4.42578125" style="53" bestFit="1" customWidth="1"/>
    <col min="3859" max="3859" width="17" style="53" bestFit="1" customWidth="1"/>
    <col min="3860" max="3860" width="11.42578125" style="53"/>
    <col min="3861" max="3861" width="5.28515625" style="53" bestFit="1" customWidth="1"/>
    <col min="3862" max="3862" width="11.42578125" style="53"/>
    <col min="3863" max="3863" width="5.28515625" style="53" bestFit="1" customWidth="1"/>
    <col min="3864" max="3864" width="11.42578125" style="53"/>
    <col min="3865" max="3865" width="5.28515625" style="53" bestFit="1" customWidth="1"/>
    <col min="3866" max="3866" width="11.42578125" style="53"/>
    <col min="3867" max="3867" width="5.28515625" style="53" bestFit="1" customWidth="1"/>
    <col min="3868" max="3868" width="11.42578125" style="53"/>
    <col min="3869" max="3869" width="4.140625" style="53" bestFit="1" customWidth="1"/>
    <col min="3870" max="3870" width="11.42578125" style="53"/>
    <col min="3871" max="3871" width="3.140625" style="53" bestFit="1" customWidth="1"/>
    <col min="3872" max="3872" width="14.140625" style="53" bestFit="1" customWidth="1"/>
    <col min="3873" max="3873" width="11.42578125" style="53"/>
    <col min="3874" max="3874" width="2.7109375" style="53" bestFit="1" customWidth="1"/>
    <col min="3875" max="3875" width="11.42578125" style="53"/>
    <col min="3876" max="3876" width="3.140625" style="53" bestFit="1" customWidth="1"/>
    <col min="3877" max="3877" width="16.42578125" style="53" bestFit="1" customWidth="1"/>
    <col min="3878" max="3878" width="22.42578125" style="53" customWidth="1"/>
    <col min="3879" max="4096" width="11.42578125" style="53"/>
    <col min="4097" max="4097" width="25.42578125" style="53" customWidth="1"/>
    <col min="4098" max="4098" width="16.28515625" style="53" customWidth="1"/>
    <col min="4099" max="4099" width="36" style="53" bestFit="1" customWidth="1"/>
    <col min="4100" max="4100" width="50.7109375" style="53" customWidth="1"/>
    <col min="4101" max="4101" width="13.5703125" style="53" customWidth="1"/>
    <col min="4102" max="4102" width="16.140625" style="53" customWidth="1"/>
    <col min="4103" max="4103" width="2.5703125" style="53" customWidth="1"/>
    <col min="4104" max="4104" width="11" style="53" customWidth="1"/>
    <col min="4105" max="4105" width="19.28515625" style="53" bestFit="1" customWidth="1"/>
    <col min="4106" max="4106" width="19" style="53" bestFit="1" customWidth="1"/>
    <col min="4107" max="4107" width="3.7109375" style="53" customWidth="1"/>
    <col min="4108" max="4108" width="4.42578125" style="53" bestFit="1" customWidth="1"/>
    <col min="4109" max="4109" width="3.42578125" style="53" bestFit="1" customWidth="1"/>
    <col min="4110" max="4110" width="4.42578125" style="53" bestFit="1" customWidth="1"/>
    <col min="4111" max="4111" width="3.42578125" style="53" bestFit="1" customWidth="1"/>
    <col min="4112" max="4112" width="4.42578125" style="53" bestFit="1" customWidth="1"/>
    <col min="4113" max="4113" width="3.42578125" style="53" bestFit="1" customWidth="1"/>
    <col min="4114" max="4114" width="4.42578125" style="53" bestFit="1" customWidth="1"/>
    <col min="4115" max="4115" width="17" style="53" bestFit="1" customWidth="1"/>
    <col min="4116" max="4116" width="11.42578125" style="53"/>
    <col min="4117" max="4117" width="5.28515625" style="53" bestFit="1" customWidth="1"/>
    <col min="4118" max="4118" width="11.42578125" style="53"/>
    <col min="4119" max="4119" width="5.28515625" style="53" bestFit="1" customWidth="1"/>
    <col min="4120" max="4120" width="11.42578125" style="53"/>
    <col min="4121" max="4121" width="5.28515625" style="53" bestFit="1" customWidth="1"/>
    <col min="4122" max="4122" width="11.42578125" style="53"/>
    <col min="4123" max="4123" width="5.28515625" style="53" bestFit="1" customWidth="1"/>
    <col min="4124" max="4124" width="11.42578125" style="53"/>
    <col min="4125" max="4125" width="4.140625" style="53" bestFit="1" customWidth="1"/>
    <col min="4126" max="4126" width="11.42578125" style="53"/>
    <col min="4127" max="4127" width="3.140625" style="53" bestFit="1" customWidth="1"/>
    <col min="4128" max="4128" width="14.140625" style="53" bestFit="1" customWidth="1"/>
    <col min="4129" max="4129" width="11.42578125" style="53"/>
    <col min="4130" max="4130" width="2.7109375" style="53" bestFit="1" customWidth="1"/>
    <col min="4131" max="4131" width="11.42578125" style="53"/>
    <col min="4132" max="4132" width="3.140625" style="53" bestFit="1" customWidth="1"/>
    <col min="4133" max="4133" width="16.42578125" style="53" bestFit="1" customWidth="1"/>
    <col min="4134" max="4134" width="22.42578125" style="53" customWidth="1"/>
    <col min="4135" max="4352" width="11.42578125" style="53"/>
    <col min="4353" max="4353" width="25.42578125" style="53" customWidth="1"/>
    <col min="4354" max="4354" width="16.28515625" style="53" customWidth="1"/>
    <col min="4355" max="4355" width="36" style="53" bestFit="1" customWidth="1"/>
    <col min="4356" max="4356" width="50.7109375" style="53" customWidth="1"/>
    <col min="4357" max="4357" width="13.5703125" style="53" customWidth="1"/>
    <col min="4358" max="4358" width="16.140625" style="53" customWidth="1"/>
    <col min="4359" max="4359" width="2.5703125" style="53" customWidth="1"/>
    <col min="4360" max="4360" width="11" style="53" customWidth="1"/>
    <col min="4361" max="4361" width="19.28515625" style="53" bestFit="1" customWidth="1"/>
    <col min="4362" max="4362" width="19" style="53" bestFit="1" customWidth="1"/>
    <col min="4363" max="4363" width="3.7109375" style="53" customWidth="1"/>
    <col min="4364" max="4364" width="4.42578125" style="53" bestFit="1" customWidth="1"/>
    <col min="4365" max="4365" width="3.42578125" style="53" bestFit="1" customWidth="1"/>
    <col min="4366" max="4366" width="4.42578125" style="53" bestFit="1" customWidth="1"/>
    <col min="4367" max="4367" width="3.42578125" style="53" bestFit="1" customWidth="1"/>
    <col min="4368" max="4368" width="4.42578125" style="53" bestFit="1" customWidth="1"/>
    <col min="4369" max="4369" width="3.42578125" style="53" bestFit="1" customWidth="1"/>
    <col min="4370" max="4370" width="4.42578125" style="53" bestFit="1" customWidth="1"/>
    <col min="4371" max="4371" width="17" style="53" bestFit="1" customWidth="1"/>
    <col min="4372" max="4372" width="11.42578125" style="53"/>
    <col min="4373" max="4373" width="5.28515625" style="53" bestFit="1" customWidth="1"/>
    <col min="4374" max="4374" width="11.42578125" style="53"/>
    <col min="4375" max="4375" width="5.28515625" style="53" bestFit="1" customWidth="1"/>
    <col min="4376" max="4376" width="11.42578125" style="53"/>
    <col min="4377" max="4377" width="5.28515625" style="53" bestFit="1" customWidth="1"/>
    <col min="4378" max="4378" width="11.42578125" style="53"/>
    <col min="4379" max="4379" width="5.28515625" style="53" bestFit="1" customWidth="1"/>
    <col min="4380" max="4380" width="11.42578125" style="53"/>
    <col min="4381" max="4381" width="4.140625" style="53" bestFit="1" customWidth="1"/>
    <col min="4382" max="4382" width="11.42578125" style="53"/>
    <col min="4383" max="4383" width="3.140625" style="53" bestFit="1" customWidth="1"/>
    <col min="4384" max="4384" width="14.140625" style="53" bestFit="1" customWidth="1"/>
    <col min="4385" max="4385" width="11.42578125" style="53"/>
    <col min="4386" max="4386" width="2.7109375" style="53" bestFit="1" customWidth="1"/>
    <col min="4387" max="4387" width="11.42578125" style="53"/>
    <col min="4388" max="4388" width="3.140625" style="53" bestFit="1" customWidth="1"/>
    <col min="4389" max="4389" width="16.42578125" style="53" bestFit="1" customWidth="1"/>
    <col min="4390" max="4390" width="22.42578125" style="53" customWidth="1"/>
    <col min="4391" max="4608" width="11.42578125" style="53"/>
    <col min="4609" max="4609" width="25.42578125" style="53" customWidth="1"/>
    <col min="4610" max="4610" width="16.28515625" style="53" customWidth="1"/>
    <col min="4611" max="4611" width="36" style="53" bestFit="1" customWidth="1"/>
    <col min="4612" max="4612" width="50.7109375" style="53" customWidth="1"/>
    <col min="4613" max="4613" width="13.5703125" style="53" customWidth="1"/>
    <col min="4614" max="4614" width="16.140625" style="53" customWidth="1"/>
    <col min="4615" max="4615" width="2.5703125" style="53" customWidth="1"/>
    <col min="4616" max="4616" width="11" style="53" customWidth="1"/>
    <col min="4617" max="4617" width="19.28515625" style="53" bestFit="1" customWidth="1"/>
    <col min="4618" max="4618" width="19" style="53" bestFit="1" customWidth="1"/>
    <col min="4619" max="4619" width="3.7109375" style="53" customWidth="1"/>
    <col min="4620" max="4620" width="4.42578125" style="53" bestFit="1" customWidth="1"/>
    <col min="4621" max="4621" width="3.42578125" style="53" bestFit="1" customWidth="1"/>
    <col min="4622" max="4622" width="4.42578125" style="53" bestFit="1" customWidth="1"/>
    <col min="4623" max="4623" width="3.42578125" style="53" bestFit="1" customWidth="1"/>
    <col min="4624" max="4624" width="4.42578125" style="53" bestFit="1" customWidth="1"/>
    <col min="4625" max="4625" width="3.42578125" style="53" bestFit="1" customWidth="1"/>
    <col min="4626" max="4626" width="4.42578125" style="53" bestFit="1" customWidth="1"/>
    <col min="4627" max="4627" width="17" style="53" bestFit="1" customWidth="1"/>
    <col min="4628" max="4628" width="11.42578125" style="53"/>
    <col min="4629" max="4629" width="5.28515625" style="53" bestFit="1" customWidth="1"/>
    <col min="4630" max="4630" width="11.42578125" style="53"/>
    <col min="4631" max="4631" width="5.28515625" style="53" bestFit="1" customWidth="1"/>
    <col min="4632" max="4632" width="11.42578125" style="53"/>
    <col min="4633" max="4633" width="5.28515625" style="53" bestFit="1" customWidth="1"/>
    <col min="4634" max="4634" width="11.42578125" style="53"/>
    <col min="4635" max="4635" width="5.28515625" style="53" bestFit="1" customWidth="1"/>
    <col min="4636" max="4636" width="11.42578125" style="53"/>
    <col min="4637" max="4637" width="4.140625" style="53" bestFit="1" customWidth="1"/>
    <col min="4638" max="4638" width="11.42578125" style="53"/>
    <col min="4639" max="4639" width="3.140625" style="53" bestFit="1" customWidth="1"/>
    <col min="4640" max="4640" width="14.140625" style="53" bestFit="1" customWidth="1"/>
    <col min="4641" max="4641" width="11.42578125" style="53"/>
    <col min="4642" max="4642" width="2.7109375" style="53" bestFit="1" customWidth="1"/>
    <col min="4643" max="4643" width="11.42578125" style="53"/>
    <col min="4644" max="4644" width="3.140625" style="53" bestFit="1" customWidth="1"/>
    <col min="4645" max="4645" width="16.42578125" style="53" bestFit="1" customWidth="1"/>
    <col min="4646" max="4646" width="22.42578125" style="53" customWidth="1"/>
    <col min="4647" max="4864" width="11.42578125" style="53"/>
    <col min="4865" max="4865" width="25.42578125" style="53" customWidth="1"/>
    <col min="4866" max="4866" width="16.28515625" style="53" customWidth="1"/>
    <col min="4867" max="4867" width="36" style="53" bestFit="1" customWidth="1"/>
    <col min="4868" max="4868" width="50.7109375" style="53" customWidth="1"/>
    <col min="4869" max="4869" width="13.5703125" style="53" customWidth="1"/>
    <col min="4870" max="4870" width="16.140625" style="53" customWidth="1"/>
    <col min="4871" max="4871" width="2.5703125" style="53" customWidth="1"/>
    <col min="4872" max="4872" width="11" style="53" customWidth="1"/>
    <col min="4873" max="4873" width="19.28515625" style="53" bestFit="1" customWidth="1"/>
    <col min="4874" max="4874" width="19" style="53" bestFit="1" customWidth="1"/>
    <col min="4875" max="4875" width="3.7109375" style="53" customWidth="1"/>
    <col min="4876" max="4876" width="4.42578125" style="53" bestFit="1" customWidth="1"/>
    <col min="4877" max="4877" width="3.42578125" style="53" bestFit="1" customWidth="1"/>
    <col min="4878" max="4878" width="4.42578125" style="53" bestFit="1" customWidth="1"/>
    <col min="4879" max="4879" width="3.42578125" style="53" bestFit="1" customWidth="1"/>
    <col min="4880" max="4880" width="4.42578125" style="53" bestFit="1" customWidth="1"/>
    <col min="4881" max="4881" width="3.42578125" style="53" bestFit="1" customWidth="1"/>
    <col min="4882" max="4882" width="4.42578125" style="53" bestFit="1" customWidth="1"/>
    <col min="4883" max="4883" width="17" style="53" bestFit="1" customWidth="1"/>
    <col min="4884" max="4884" width="11.42578125" style="53"/>
    <col min="4885" max="4885" width="5.28515625" style="53" bestFit="1" customWidth="1"/>
    <col min="4886" max="4886" width="11.42578125" style="53"/>
    <col min="4887" max="4887" width="5.28515625" style="53" bestFit="1" customWidth="1"/>
    <col min="4888" max="4888" width="11.42578125" style="53"/>
    <col min="4889" max="4889" width="5.28515625" style="53" bestFit="1" customWidth="1"/>
    <col min="4890" max="4890" width="11.42578125" style="53"/>
    <col min="4891" max="4891" width="5.28515625" style="53" bestFit="1" customWidth="1"/>
    <col min="4892" max="4892" width="11.42578125" style="53"/>
    <col min="4893" max="4893" width="4.140625" style="53" bestFit="1" customWidth="1"/>
    <col min="4894" max="4894" width="11.42578125" style="53"/>
    <col min="4895" max="4895" width="3.140625" style="53" bestFit="1" customWidth="1"/>
    <col min="4896" max="4896" width="14.140625" style="53" bestFit="1" customWidth="1"/>
    <col min="4897" max="4897" width="11.42578125" style="53"/>
    <col min="4898" max="4898" width="2.7109375" style="53" bestFit="1" customWidth="1"/>
    <col min="4899" max="4899" width="11.42578125" style="53"/>
    <col min="4900" max="4900" width="3.140625" style="53" bestFit="1" customWidth="1"/>
    <col min="4901" max="4901" width="16.42578125" style="53" bestFit="1" customWidth="1"/>
    <col min="4902" max="4902" width="22.42578125" style="53" customWidth="1"/>
    <col min="4903" max="5120" width="11.42578125" style="53"/>
    <col min="5121" max="5121" width="25.42578125" style="53" customWidth="1"/>
    <col min="5122" max="5122" width="16.28515625" style="53" customWidth="1"/>
    <col min="5123" max="5123" width="36" style="53" bestFit="1" customWidth="1"/>
    <col min="5124" max="5124" width="50.7109375" style="53" customWidth="1"/>
    <col min="5125" max="5125" width="13.5703125" style="53" customWidth="1"/>
    <col min="5126" max="5126" width="16.140625" style="53" customWidth="1"/>
    <col min="5127" max="5127" width="2.5703125" style="53" customWidth="1"/>
    <col min="5128" max="5128" width="11" style="53" customWidth="1"/>
    <col min="5129" max="5129" width="19.28515625" style="53" bestFit="1" customWidth="1"/>
    <col min="5130" max="5130" width="19" style="53" bestFit="1" customWidth="1"/>
    <col min="5131" max="5131" width="3.7109375" style="53" customWidth="1"/>
    <col min="5132" max="5132" width="4.42578125" style="53" bestFit="1" customWidth="1"/>
    <col min="5133" max="5133" width="3.42578125" style="53" bestFit="1" customWidth="1"/>
    <col min="5134" max="5134" width="4.42578125" style="53" bestFit="1" customWidth="1"/>
    <col min="5135" max="5135" width="3.42578125" style="53" bestFit="1" customWidth="1"/>
    <col min="5136" max="5136" width="4.42578125" style="53" bestFit="1" customWidth="1"/>
    <col min="5137" max="5137" width="3.42578125" style="53" bestFit="1" customWidth="1"/>
    <col min="5138" max="5138" width="4.42578125" style="53" bestFit="1" customWidth="1"/>
    <col min="5139" max="5139" width="17" style="53" bestFit="1" customWidth="1"/>
    <col min="5140" max="5140" width="11.42578125" style="53"/>
    <col min="5141" max="5141" width="5.28515625" style="53" bestFit="1" customWidth="1"/>
    <col min="5142" max="5142" width="11.42578125" style="53"/>
    <col min="5143" max="5143" width="5.28515625" style="53" bestFit="1" customWidth="1"/>
    <col min="5144" max="5144" width="11.42578125" style="53"/>
    <col min="5145" max="5145" width="5.28515625" style="53" bestFit="1" customWidth="1"/>
    <col min="5146" max="5146" width="11.42578125" style="53"/>
    <col min="5147" max="5147" width="5.28515625" style="53" bestFit="1" customWidth="1"/>
    <col min="5148" max="5148" width="11.42578125" style="53"/>
    <col min="5149" max="5149" width="4.140625" style="53" bestFit="1" customWidth="1"/>
    <col min="5150" max="5150" width="11.42578125" style="53"/>
    <col min="5151" max="5151" width="3.140625" style="53" bestFit="1" customWidth="1"/>
    <col min="5152" max="5152" width="14.140625" style="53" bestFit="1" customWidth="1"/>
    <col min="5153" max="5153" width="11.42578125" style="53"/>
    <col min="5154" max="5154" width="2.7109375" style="53" bestFit="1" customWidth="1"/>
    <col min="5155" max="5155" width="11.42578125" style="53"/>
    <col min="5156" max="5156" width="3.140625" style="53" bestFit="1" customWidth="1"/>
    <col min="5157" max="5157" width="16.42578125" style="53" bestFit="1" customWidth="1"/>
    <col min="5158" max="5158" width="22.42578125" style="53" customWidth="1"/>
    <col min="5159" max="5376" width="11.42578125" style="53"/>
    <col min="5377" max="5377" width="25.42578125" style="53" customWidth="1"/>
    <col min="5378" max="5378" width="16.28515625" style="53" customWidth="1"/>
    <col min="5379" max="5379" width="36" style="53" bestFit="1" customWidth="1"/>
    <col min="5380" max="5380" width="50.7109375" style="53" customWidth="1"/>
    <col min="5381" max="5381" width="13.5703125" style="53" customWidth="1"/>
    <col min="5382" max="5382" width="16.140625" style="53" customWidth="1"/>
    <col min="5383" max="5383" width="2.5703125" style="53" customWidth="1"/>
    <col min="5384" max="5384" width="11" style="53" customWidth="1"/>
    <col min="5385" max="5385" width="19.28515625" style="53" bestFit="1" customWidth="1"/>
    <col min="5386" max="5386" width="19" style="53" bestFit="1" customWidth="1"/>
    <col min="5387" max="5387" width="3.7109375" style="53" customWidth="1"/>
    <col min="5388" max="5388" width="4.42578125" style="53" bestFit="1" customWidth="1"/>
    <col min="5389" max="5389" width="3.42578125" style="53" bestFit="1" customWidth="1"/>
    <col min="5390" max="5390" width="4.42578125" style="53" bestFit="1" customWidth="1"/>
    <col min="5391" max="5391" width="3.42578125" style="53" bestFit="1" customWidth="1"/>
    <col min="5392" max="5392" width="4.42578125" style="53" bestFit="1" customWidth="1"/>
    <col min="5393" max="5393" width="3.42578125" style="53" bestFit="1" customWidth="1"/>
    <col min="5394" max="5394" width="4.42578125" style="53" bestFit="1" customWidth="1"/>
    <col min="5395" max="5395" width="17" style="53" bestFit="1" customWidth="1"/>
    <col min="5396" max="5396" width="11.42578125" style="53"/>
    <col min="5397" max="5397" width="5.28515625" style="53" bestFit="1" customWidth="1"/>
    <col min="5398" max="5398" width="11.42578125" style="53"/>
    <col min="5399" max="5399" width="5.28515625" style="53" bestFit="1" customWidth="1"/>
    <col min="5400" max="5400" width="11.42578125" style="53"/>
    <col min="5401" max="5401" width="5.28515625" style="53" bestFit="1" customWidth="1"/>
    <col min="5402" max="5402" width="11.42578125" style="53"/>
    <col min="5403" max="5403" width="5.28515625" style="53" bestFit="1" customWidth="1"/>
    <col min="5404" max="5404" width="11.42578125" style="53"/>
    <col min="5405" max="5405" width="4.140625" style="53" bestFit="1" customWidth="1"/>
    <col min="5406" max="5406" width="11.42578125" style="53"/>
    <col min="5407" max="5407" width="3.140625" style="53" bestFit="1" customWidth="1"/>
    <col min="5408" max="5408" width="14.140625" style="53" bestFit="1" customWidth="1"/>
    <col min="5409" max="5409" width="11.42578125" style="53"/>
    <col min="5410" max="5410" width="2.7109375" style="53" bestFit="1" customWidth="1"/>
    <col min="5411" max="5411" width="11.42578125" style="53"/>
    <col min="5412" max="5412" width="3.140625" style="53" bestFit="1" customWidth="1"/>
    <col min="5413" max="5413" width="16.42578125" style="53" bestFit="1" customWidth="1"/>
    <col min="5414" max="5414" width="22.42578125" style="53" customWidth="1"/>
    <col min="5415" max="5632" width="11.42578125" style="53"/>
    <col min="5633" max="5633" width="25.42578125" style="53" customWidth="1"/>
    <col min="5634" max="5634" width="16.28515625" style="53" customWidth="1"/>
    <col min="5635" max="5635" width="36" style="53" bestFit="1" customWidth="1"/>
    <col min="5636" max="5636" width="50.7109375" style="53" customWidth="1"/>
    <col min="5637" max="5637" width="13.5703125" style="53" customWidth="1"/>
    <col min="5638" max="5638" width="16.140625" style="53" customWidth="1"/>
    <col min="5639" max="5639" width="2.5703125" style="53" customWidth="1"/>
    <col min="5640" max="5640" width="11" style="53" customWidth="1"/>
    <col min="5641" max="5641" width="19.28515625" style="53" bestFit="1" customWidth="1"/>
    <col min="5642" max="5642" width="19" style="53" bestFit="1" customWidth="1"/>
    <col min="5643" max="5643" width="3.7109375" style="53" customWidth="1"/>
    <col min="5644" max="5644" width="4.42578125" style="53" bestFit="1" customWidth="1"/>
    <col min="5645" max="5645" width="3.42578125" style="53" bestFit="1" customWidth="1"/>
    <col min="5646" max="5646" width="4.42578125" style="53" bestFit="1" customWidth="1"/>
    <col min="5647" max="5647" width="3.42578125" style="53" bestFit="1" customWidth="1"/>
    <col min="5648" max="5648" width="4.42578125" style="53" bestFit="1" customWidth="1"/>
    <col min="5649" max="5649" width="3.42578125" style="53" bestFit="1" customWidth="1"/>
    <col min="5650" max="5650" width="4.42578125" style="53" bestFit="1" customWidth="1"/>
    <col min="5651" max="5651" width="17" style="53" bestFit="1" customWidth="1"/>
    <col min="5652" max="5652" width="11.42578125" style="53"/>
    <col min="5653" max="5653" width="5.28515625" style="53" bestFit="1" customWidth="1"/>
    <col min="5654" max="5654" width="11.42578125" style="53"/>
    <col min="5655" max="5655" width="5.28515625" style="53" bestFit="1" customWidth="1"/>
    <col min="5656" max="5656" width="11.42578125" style="53"/>
    <col min="5657" max="5657" width="5.28515625" style="53" bestFit="1" customWidth="1"/>
    <col min="5658" max="5658" width="11.42578125" style="53"/>
    <col min="5659" max="5659" width="5.28515625" style="53" bestFit="1" customWidth="1"/>
    <col min="5660" max="5660" width="11.42578125" style="53"/>
    <col min="5661" max="5661" width="4.140625" style="53" bestFit="1" customWidth="1"/>
    <col min="5662" max="5662" width="11.42578125" style="53"/>
    <col min="5663" max="5663" width="3.140625" style="53" bestFit="1" customWidth="1"/>
    <col min="5664" max="5664" width="14.140625" style="53" bestFit="1" customWidth="1"/>
    <col min="5665" max="5665" width="11.42578125" style="53"/>
    <col min="5666" max="5666" width="2.7109375" style="53" bestFit="1" customWidth="1"/>
    <col min="5667" max="5667" width="11.42578125" style="53"/>
    <col min="5668" max="5668" width="3.140625" style="53" bestFit="1" customWidth="1"/>
    <col min="5669" max="5669" width="16.42578125" style="53" bestFit="1" customWidth="1"/>
    <col min="5670" max="5670" width="22.42578125" style="53" customWidth="1"/>
    <col min="5671" max="5888" width="11.42578125" style="53"/>
    <col min="5889" max="5889" width="25.42578125" style="53" customWidth="1"/>
    <col min="5890" max="5890" width="16.28515625" style="53" customWidth="1"/>
    <col min="5891" max="5891" width="36" style="53" bestFit="1" customWidth="1"/>
    <col min="5892" max="5892" width="50.7109375" style="53" customWidth="1"/>
    <col min="5893" max="5893" width="13.5703125" style="53" customWidth="1"/>
    <col min="5894" max="5894" width="16.140625" style="53" customWidth="1"/>
    <col min="5895" max="5895" width="2.5703125" style="53" customWidth="1"/>
    <col min="5896" max="5896" width="11" style="53" customWidth="1"/>
    <col min="5897" max="5897" width="19.28515625" style="53" bestFit="1" customWidth="1"/>
    <col min="5898" max="5898" width="19" style="53" bestFit="1" customWidth="1"/>
    <col min="5899" max="5899" width="3.7109375" style="53" customWidth="1"/>
    <col min="5900" max="5900" width="4.42578125" style="53" bestFit="1" customWidth="1"/>
    <col min="5901" max="5901" width="3.42578125" style="53" bestFit="1" customWidth="1"/>
    <col min="5902" max="5902" width="4.42578125" style="53" bestFit="1" customWidth="1"/>
    <col min="5903" max="5903" width="3.42578125" style="53" bestFit="1" customWidth="1"/>
    <col min="5904" max="5904" width="4.42578125" style="53" bestFit="1" customWidth="1"/>
    <col min="5905" max="5905" width="3.42578125" style="53" bestFit="1" customWidth="1"/>
    <col min="5906" max="5906" width="4.42578125" style="53" bestFit="1" customWidth="1"/>
    <col min="5907" max="5907" width="17" style="53" bestFit="1" customWidth="1"/>
    <col min="5908" max="5908" width="11.42578125" style="53"/>
    <col min="5909" max="5909" width="5.28515625" style="53" bestFit="1" customWidth="1"/>
    <col min="5910" max="5910" width="11.42578125" style="53"/>
    <col min="5911" max="5911" width="5.28515625" style="53" bestFit="1" customWidth="1"/>
    <col min="5912" max="5912" width="11.42578125" style="53"/>
    <col min="5913" max="5913" width="5.28515625" style="53" bestFit="1" customWidth="1"/>
    <col min="5914" max="5914" width="11.42578125" style="53"/>
    <col min="5915" max="5915" width="5.28515625" style="53" bestFit="1" customWidth="1"/>
    <col min="5916" max="5916" width="11.42578125" style="53"/>
    <col min="5917" max="5917" width="4.140625" style="53" bestFit="1" customWidth="1"/>
    <col min="5918" max="5918" width="11.42578125" style="53"/>
    <col min="5919" max="5919" width="3.140625" style="53" bestFit="1" customWidth="1"/>
    <col min="5920" max="5920" width="14.140625" style="53" bestFit="1" customWidth="1"/>
    <col min="5921" max="5921" width="11.42578125" style="53"/>
    <col min="5922" max="5922" width="2.7109375" style="53" bestFit="1" customWidth="1"/>
    <col min="5923" max="5923" width="11.42578125" style="53"/>
    <col min="5924" max="5924" width="3.140625" style="53" bestFit="1" customWidth="1"/>
    <col min="5925" max="5925" width="16.42578125" style="53" bestFit="1" customWidth="1"/>
    <col min="5926" max="5926" width="22.42578125" style="53" customWidth="1"/>
    <col min="5927" max="6144" width="11.42578125" style="53"/>
    <col min="6145" max="6145" width="25.42578125" style="53" customWidth="1"/>
    <col min="6146" max="6146" width="16.28515625" style="53" customWidth="1"/>
    <col min="6147" max="6147" width="36" style="53" bestFit="1" customWidth="1"/>
    <col min="6148" max="6148" width="50.7109375" style="53" customWidth="1"/>
    <col min="6149" max="6149" width="13.5703125" style="53" customWidth="1"/>
    <col min="6150" max="6150" width="16.140625" style="53" customWidth="1"/>
    <col min="6151" max="6151" width="2.5703125" style="53" customWidth="1"/>
    <col min="6152" max="6152" width="11" style="53" customWidth="1"/>
    <col min="6153" max="6153" width="19.28515625" style="53" bestFit="1" customWidth="1"/>
    <col min="6154" max="6154" width="19" style="53" bestFit="1" customWidth="1"/>
    <col min="6155" max="6155" width="3.7109375" style="53" customWidth="1"/>
    <col min="6156" max="6156" width="4.42578125" style="53" bestFit="1" customWidth="1"/>
    <col min="6157" max="6157" width="3.42578125" style="53" bestFit="1" customWidth="1"/>
    <col min="6158" max="6158" width="4.42578125" style="53" bestFit="1" customWidth="1"/>
    <col min="6159" max="6159" width="3.42578125" style="53" bestFit="1" customWidth="1"/>
    <col min="6160" max="6160" width="4.42578125" style="53" bestFit="1" customWidth="1"/>
    <col min="6161" max="6161" width="3.42578125" style="53" bestFit="1" customWidth="1"/>
    <col min="6162" max="6162" width="4.42578125" style="53" bestFit="1" customWidth="1"/>
    <col min="6163" max="6163" width="17" style="53" bestFit="1" customWidth="1"/>
    <col min="6164" max="6164" width="11.42578125" style="53"/>
    <col min="6165" max="6165" width="5.28515625" style="53" bestFit="1" customWidth="1"/>
    <col min="6166" max="6166" width="11.42578125" style="53"/>
    <col min="6167" max="6167" width="5.28515625" style="53" bestFit="1" customWidth="1"/>
    <col min="6168" max="6168" width="11.42578125" style="53"/>
    <col min="6169" max="6169" width="5.28515625" style="53" bestFit="1" customWidth="1"/>
    <col min="6170" max="6170" width="11.42578125" style="53"/>
    <col min="6171" max="6171" width="5.28515625" style="53" bestFit="1" customWidth="1"/>
    <col min="6172" max="6172" width="11.42578125" style="53"/>
    <col min="6173" max="6173" width="4.140625" style="53" bestFit="1" customWidth="1"/>
    <col min="6174" max="6174" width="11.42578125" style="53"/>
    <col min="6175" max="6175" width="3.140625" style="53" bestFit="1" customWidth="1"/>
    <col min="6176" max="6176" width="14.140625" style="53" bestFit="1" customWidth="1"/>
    <col min="6177" max="6177" width="11.42578125" style="53"/>
    <col min="6178" max="6178" width="2.7109375" style="53" bestFit="1" customWidth="1"/>
    <col min="6179" max="6179" width="11.42578125" style="53"/>
    <col min="6180" max="6180" width="3.140625" style="53" bestFit="1" customWidth="1"/>
    <col min="6181" max="6181" width="16.42578125" style="53" bestFit="1" customWidth="1"/>
    <col min="6182" max="6182" width="22.42578125" style="53" customWidth="1"/>
    <col min="6183" max="6400" width="11.42578125" style="53"/>
    <col min="6401" max="6401" width="25.42578125" style="53" customWidth="1"/>
    <col min="6402" max="6402" width="16.28515625" style="53" customWidth="1"/>
    <col min="6403" max="6403" width="36" style="53" bestFit="1" customWidth="1"/>
    <col min="6404" max="6404" width="50.7109375" style="53" customWidth="1"/>
    <col min="6405" max="6405" width="13.5703125" style="53" customWidth="1"/>
    <col min="6406" max="6406" width="16.140625" style="53" customWidth="1"/>
    <col min="6407" max="6407" width="2.5703125" style="53" customWidth="1"/>
    <col min="6408" max="6408" width="11" style="53" customWidth="1"/>
    <col min="6409" max="6409" width="19.28515625" style="53" bestFit="1" customWidth="1"/>
    <col min="6410" max="6410" width="19" style="53" bestFit="1" customWidth="1"/>
    <col min="6411" max="6411" width="3.7109375" style="53" customWidth="1"/>
    <col min="6412" max="6412" width="4.42578125" style="53" bestFit="1" customWidth="1"/>
    <col min="6413" max="6413" width="3.42578125" style="53" bestFit="1" customWidth="1"/>
    <col min="6414" max="6414" width="4.42578125" style="53" bestFit="1" customWidth="1"/>
    <col min="6415" max="6415" width="3.42578125" style="53" bestFit="1" customWidth="1"/>
    <col min="6416" max="6416" width="4.42578125" style="53" bestFit="1" customWidth="1"/>
    <col min="6417" max="6417" width="3.42578125" style="53" bestFit="1" customWidth="1"/>
    <col min="6418" max="6418" width="4.42578125" style="53" bestFit="1" customWidth="1"/>
    <col min="6419" max="6419" width="17" style="53" bestFit="1" customWidth="1"/>
    <col min="6420" max="6420" width="11.42578125" style="53"/>
    <col min="6421" max="6421" width="5.28515625" style="53" bestFit="1" customWidth="1"/>
    <col min="6422" max="6422" width="11.42578125" style="53"/>
    <col min="6423" max="6423" width="5.28515625" style="53" bestFit="1" customWidth="1"/>
    <col min="6424" max="6424" width="11.42578125" style="53"/>
    <col min="6425" max="6425" width="5.28515625" style="53" bestFit="1" customWidth="1"/>
    <col min="6426" max="6426" width="11.42578125" style="53"/>
    <col min="6427" max="6427" width="5.28515625" style="53" bestFit="1" customWidth="1"/>
    <col min="6428" max="6428" width="11.42578125" style="53"/>
    <col min="6429" max="6429" width="4.140625" style="53" bestFit="1" customWidth="1"/>
    <col min="6430" max="6430" width="11.42578125" style="53"/>
    <col min="6431" max="6431" width="3.140625" style="53" bestFit="1" customWidth="1"/>
    <col min="6432" max="6432" width="14.140625" style="53" bestFit="1" customWidth="1"/>
    <col min="6433" max="6433" width="11.42578125" style="53"/>
    <col min="6434" max="6434" width="2.7109375" style="53" bestFit="1" customWidth="1"/>
    <col min="6435" max="6435" width="11.42578125" style="53"/>
    <col min="6436" max="6436" width="3.140625" style="53" bestFit="1" customWidth="1"/>
    <col min="6437" max="6437" width="16.42578125" style="53" bestFit="1" customWidth="1"/>
    <col min="6438" max="6438" width="22.42578125" style="53" customWidth="1"/>
    <col min="6439" max="6656" width="11.42578125" style="53"/>
    <col min="6657" max="6657" width="25.42578125" style="53" customWidth="1"/>
    <col min="6658" max="6658" width="16.28515625" style="53" customWidth="1"/>
    <col min="6659" max="6659" width="36" style="53" bestFit="1" customWidth="1"/>
    <col min="6660" max="6660" width="50.7109375" style="53" customWidth="1"/>
    <col min="6661" max="6661" width="13.5703125" style="53" customWidth="1"/>
    <col min="6662" max="6662" width="16.140625" style="53" customWidth="1"/>
    <col min="6663" max="6663" width="2.5703125" style="53" customWidth="1"/>
    <col min="6664" max="6664" width="11" style="53" customWidth="1"/>
    <col min="6665" max="6665" width="19.28515625" style="53" bestFit="1" customWidth="1"/>
    <col min="6666" max="6666" width="19" style="53" bestFit="1" customWidth="1"/>
    <col min="6667" max="6667" width="3.7109375" style="53" customWidth="1"/>
    <col min="6668" max="6668" width="4.42578125" style="53" bestFit="1" customWidth="1"/>
    <col min="6669" max="6669" width="3.42578125" style="53" bestFit="1" customWidth="1"/>
    <col min="6670" max="6670" width="4.42578125" style="53" bestFit="1" customWidth="1"/>
    <col min="6671" max="6671" width="3.42578125" style="53" bestFit="1" customWidth="1"/>
    <col min="6672" max="6672" width="4.42578125" style="53" bestFit="1" customWidth="1"/>
    <col min="6673" max="6673" width="3.42578125" style="53" bestFit="1" customWidth="1"/>
    <col min="6674" max="6674" width="4.42578125" style="53" bestFit="1" customWidth="1"/>
    <col min="6675" max="6675" width="17" style="53" bestFit="1" customWidth="1"/>
    <col min="6676" max="6676" width="11.42578125" style="53"/>
    <col min="6677" max="6677" width="5.28515625" style="53" bestFit="1" customWidth="1"/>
    <col min="6678" max="6678" width="11.42578125" style="53"/>
    <col min="6679" max="6679" width="5.28515625" style="53" bestFit="1" customWidth="1"/>
    <col min="6680" max="6680" width="11.42578125" style="53"/>
    <col min="6681" max="6681" width="5.28515625" style="53" bestFit="1" customWidth="1"/>
    <col min="6682" max="6682" width="11.42578125" style="53"/>
    <col min="6683" max="6683" width="5.28515625" style="53" bestFit="1" customWidth="1"/>
    <col min="6684" max="6684" width="11.42578125" style="53"/>
    <col min="6685" max="6685" width="4.140625" style="53" bestFit="1" customWidth="1"/>
    <col min="6686" max="6686" width="11.42578125" style="53"/>
    <col min="6687" max="6687" width="3.140625" style="53" bestFit="1" customWidth="1"/>
    <col min="6688" max="6688" width="14.140625" style="53" bestFit="1" customWidth="1"/>
    <col min="6689" max="6689" width="11.42578125" style="53"/>
    <col min="6690" max="6690" width="2.7109375" style="53" bestFit="1" customWidth="1"/>
    <col min="6691" max="6691" width="11.42578125" style="53"/>
    <col min="6692" max="6692" width="3.140625" style="53" bestFit="1" customWidth="1"/>
    <col min="6693" max="6693" width="16.42578125" style="53" bestFit="1" customWidth="1"/>
    <col min="6694" max="6694" width="22.42578125" style="53" customWidth="1"/>
    <col min="6695" max="6912" width="11.42578125" style="53"/>
    <col min="6913" max="6913" width="25.42578125" style="53" customWidth="1"/>
    <col min="6914" max="6914" width="16.28515625" style="53" customWidth="1"/>
    <col min="6915" max="6915" width="36" style="53" bestFit="1" customWidth="1"/>
    <col min="6916" max="6916" width="50.7109375" style="53" customWidth="1"/>
    <col min="6917" max="6917" width="13.5703125" style="53" customWidth="1"/>
    <col min="6918" max="6918" width="16.140625" style="53" customWidth="1"/>
    <col min="6919" max="6919" width="2.5703125" style="53" customWidth="1"/>
    <col min="6920" max="6920" width="11" style="53" customWidth="1"/>
    <col min="6921" max="6921" width="19.28515625" style="53" bestFit="1" customWidth="1"/>
    <col min="6922" max="6922" width="19" style="53" bestFit="1" customWidth="1"/>
    <col min="6923" max="6923" width="3.7109375" style="53" customWidth="1"/>
    <col min="6924" max="6924" width="4.42578125" style="53" bestFit="1" customWidth="1"/>
    <col min="6925" max="6925" width="3.42578125" style="53" bestFit="1" customWidth="1"/>
    <col min="6926" max="6926" width="4.42578125" style="53" bestFit="1" customWidth="1"/>
    <col min="6927" max="6927" width="3.42578125" style="53" bestFit="1" customWidth="1"/>
    <col min="6928" max="6928" width="4.42578125" style="53" bestFit="1" customWidth="1"/>
    <col min="6929" max="6929" width="3.42578125" style="53" bestFit="1" customWidth="1"/>
    <col min="6930" max="6930" width="4.42578125" style="53" bestFit="1" customWidth="1"/>
    <col min="6931" max="6931" width="17" style="53" bestFit="1" customWidth="1"/>
    <col min="6932" max="6932" width="11.42578125" style="53"/>
    <col min="6933" max="6933" width="5.28515625" style="53" bestFit="1" customWidth="1"/>
    <col min="6934" max="6934" width="11.42578125" style="53"/>
    <col min="6935" max="6935" width="5.28515625" style="53" bestFit="1" customWidth="1"/>
    <col min="6936" max="6936" width="11.42578125" style="53"/>
    <col min="6937" max="6937" width="5.28515625" style="53" bestFit="1" customWidth="1"/>
    <col min="6938" max="6938" width="11.42578125" style="53"/>
    <col min="6939" max="6939" width="5.28515625" style="53" bestFit="1" customWidth="1"/>
    <col min="6940" max="6940" width="11.42578125" style="53"/>
    <col min="6941" max="6941" width="4.140625" style="53" bestFit="1" customWidth="1"/>
    <col min="6942" max="6942" width="11.42578125" style="53"/>
    <col min="6943" max="6943" width="3.140625" style="53" bestFit="1" customWidth="1"/>
    <col min="6944" max="6944" width="14.140625" style="53" bestFit="1" customWidth="1"/>
    <col min="6945" max="6945" width="11.42578125" style="53"/>
    <col min="6946" max="6946" width="2.7109375" style="53" bestFit="1" customWidth="1"/>
    <col min="6947" max="6947" width="11.42578125" style="53"/>
    <col min="6948" max="6948" width="3.140625" style="53" bestFit="1" customWidth="1"/>
    <col min="6949" max="6949" width="16.42578125" style="53" bestFit="1" customWidth="1"/>
    <col min="6950" max="6950" width="22.42578125" style="53" customWidth="1"/>
    <col min="6951" max="7168" width="11.42578125" style="53"/>
    <col min="7169" max="7169" width="25.42578125" style="53" customWidth="1"/>
    <col min="7170" max="7170" width="16.28515625" style="53" customWidth="1"/>
    <col min="7171" max="7171" width="36" style="53" bestFit="1" customWidth="1"/>
    <col min="7172" max="7172" width="50.7109375" style="53" customWidth="1"/>
    <col min="7173" max="7173" width="13.5703125" style="53" customWidth="1"/>
    <col min="7174" max="7174" width="16.140625" style="53" customWidth="1"/>
    <col min="7175" max="7175" width="2.5703125" style="53" customWidth="1"/>
    <col min="7176" max="7176" width="11" style="53" customWidth="1"/>
    <col min="7177" max="7177" width="19.28515625" style="53" bestFit="1" customWidth="1"/>
    <col min="7178" max="7178" width="19" style="53" bestFit="1" customWidth="1"/>
    <col min="7179" max="7179" width="3.7109375" style="53" customWidth="1"/>
    <col min="7180" max="7180" width="4.42578125" style="53" bestFit="1" customWidth="1"/>
    <col min="7181" max="7181" width="3.42578125" style="53" bestFit="1" customWidth="1"/>
    <col min="7182" max="7182" width="4.42578125" style="53" bestFit="1" customWidth="1"/>
    <col min="7183" max="7183" width="3.42578125" style="53" bestFit="1" customWidth="1"/>
    <col min="7184" max="7184" width="4.42578125" style="53" bestFit="1" customWidth="1"/>
    <col min="7185" max="7185" width="3.42578125" style="53" bestFit="1" customWidth="1"/>
    <col min="7186" max="7186" width="4.42578125" style="53" bestFit="1" customWidth="1"/>
    <col min="7187" max="7187" width="17" style="53" bestFit="1" customWidth="1"/>
    <col min="7188" max="7188" width="11.42578125" style="53"/>
    <col min="7189" max="7189" width="5.28515625" style="53" bestFit="1" customWidth="1"/>
    <col min="7190" max="7190" width="11.42578125" style="53"/>
    <col min="7191" max="7191" width="5.28515625" style="53" bestFit="1" customWidth="1"/>
    <col min="7192" max="7192" width="11.42578125" style="53"/>
    <col min="7193" max="7193" width="5.28515625" style="53" bestFit="1" customWidth="1"/>
    <col min="7194" max="7194" width="11.42578125" style="53"/>
    <col min="7195" max="7195" width="5.28515625" style="53" bestFit="1" customWidth="1"/>
    <col min="7196" max="7196" width="11.42578125" style="53"/>
    <col min="7197" max="7197" width="4.140625" style="53" bestFit="1" customWidth="1"/>
    <col min="7198" max="7198" width="11.42578125" style="53"/>
    <col min="7199" max="7199" width="3.140625" style="53" bestFit="1" customWidth="1"/>
    <col min="7200" max="7200" width="14.140625" style="53" bestFit="1" customWidth="1"/>
    <col min="7201" max="7201" width="11.42578125" style="53"/>
    <col min="7202" max="7202" width="2.7109375" style="53" bestFit="1" customWidth="1"/>
    <col min="7203" max="7203" width="11.42578125" style="53"/>
    <col min="7204" max="7204" width="3.140625" style="53" bestFit="1" customWidth="1"/>
    <col min="7205" max="7205" width="16.42578125" style="53" bestFit="1" customWidth="1"/>
    <col min="7206" max="7206" width="22.42578125" style="53" customWidth="1"/>
    <col min="7207" max="7424" width="11.42578125" style="53"/>
    <col min="7425" max="7425" width="25.42578125" style="53" customWidth="1"/>
    <col min="7426" max="7426" width="16.28515625" style="53" customWidth="1"/>
    <col min="7427" max="7427" width="36" style="53" bestFit="1" customWidth="1"/>
    <col min="7428" max="7428" width="50.7109375" style="53" customWidth="1"/>
    <col min="7429" max="7429" width="13.5703125" style="53" customWidth="1"/>
    <col min="7430" max="7430" width="16.140625" style="53" customWidth="1"/>
    <col min="7431" max="7431" width="2.5703125" style="53" customWidth="1"/>
    <col min="7432" max="7432" width="11" style="53" customWidth="1"/>
    <col min="7433" max="7433" width="19.28515625" style="53" bestFit="1" customWidth="1"/>
    <col min="7434" max="7434" width="19" style="53" bestFit="1" customWidth="1"/>
    <col min="7435" max="7435" width="3.7109375" style="53" customWidth="1"/>
    <col min="7436" max="7436" width="4.42578125" style="53" bestFit="1" customWidth="1"/>
    <col min="7437" max="7437" width="3.42578125" style="53" bestFit="1" customWidth="1"/>
    <col min="7438" max="7438" width="4.42578125" style="53" bestFit="1" customWidth="1"/>
    <col min="7439" max="7439" width="3.42578125" style="53" bestFit="1" customWidth="1"/>
    <col min="7440" max="7440" width="4.42578125" style="53" bestFit="1" customWidth="1"/>
    <col min="7441" max="7441" width="3.42578125" style="53" bestFit="1" customWidth="1"/>
    <col min="7442" max="7442" width="4.42578125" style="53" bestFit="1" customWidth="1"/>
    <col min="7443" max="7443" width="17" style="53" bestFit="1" customWidth="1"/>
    <col min="7444" max="7444" width="11.42578125" style="53"/>
    <col min="7445" max="7445" width="5.28515625" style="53" bestFit="1" customWidth="1"/>
    <col min="7446" max="7446" width="11.42578125" style="53"/>
    <col min="7447" max="7447" width="5.28515625" style="53" bestFit="1" customWidth="1"/>
    <col min="7448" max="7448" width="11.42578125" style="53"/>
    <col min="7449" max="7449" width="5.28515625" style="53" bestFit="1" customWidth="1"/>
    <col min="7450" max="7450" width="11.42578125" style="53"/>
    <col min="7451" max="7451" width="5.28515625" style="53" bestFit="1" customWidth="1"/>
    <col min="7452" max="7452" width="11.42578125" style="53"/>
    <col min="7453" max="7453" width="4.140625" style="53" bestFit="1" customWidth="1"/>
    <col min="7454" max="7454" width="11.42578125" style="53"/>
    <col min="7455" max="7455" width="3.140625" style="53" bestFit="1" customWidth="1"/>
    <col min="7456" max="7456" width="14.140625" style="53" bestFit="1" customWidth="1"/>
    <col min="7457" max="7457" width="11.42578125" style="53"/>
    <col min="7458" max="7458" width="2.7109375" style="53" bestFit="1" customWidth="1"/>
    <col min="7459" max="7459" width="11.42578125" style="53"/>
    <col min="7460" max="7460" width="3.140625" style="53" bestFit="1" customWidth="1"/>
    <col min="7461" max="7461" width="16.42578125" style="53" bestFit="1" customWidth="1"/>
    <col min="7462" max="7462" width="22.42578125" style="53" customWidth="1"/>
    <col min="7463" max="7680" width="11.42578125" style="53"/>
    <col min="7681" max="7681" width="25.42578125" style="53" customWidth="1"/>
    <col min="7682" max="7682" width="16.28515625" style="53" customWidth="1"/>
    <col min="7683" max="7683" width="36" style="53" bestFit="1" customWidth="1"/>
    <col min="7684" max="7684" width="50.7109375" style="53" customWidth="1"/>
    <col min="7685" max="7685" width="13.5703125" style="53" customWidth="1"/>
    <col min="7686" max="7686" width="16.140625" style="53" customWidth="1"/>
    <col min="7687" max="7687" width="2.5703125" style="53" customWidth="1"/>
    <col min="7688" max="7688" width="11" style="53" customWidth="1"/>
    <col min="7689" max="7689" width="19.28515625" style="53" bestFit="1" customWidth="1"/>
    <col min="7690" max="7690" width="19" style="53" bestFit="1" customWidth="1"/>
    <col min="7691" max="7691" width="3.7109375" style="53" customWidth="1"/>
    <col min="7692" max="7692" width="4.42578125" style="53" bestFit="1" customWidth="1"/>
    <col min="7693" max="7693" width="3.42578125" style="53" bestFit="1" customWidth="1"/>
    <col min="7694" max="7694" width="4.42578125" style="53" bestFit="1" customWidth="1"/>
    <col min="7695" max="7695" width="3.42578125" style="53" bestFit="1" customWidth="1"/>
    <col min="7696" max="7696" width="4.42578125" style="53" bestFit="1" customWidth="1"/>
    <col min="7697" max="7697" width="3.42578125" style="53" bestFit="1" customWidth="1"/>
    <col min="7698" max="7698" width="4.42578125" style="53" bestFit="1" customWidth="1"/>
    <col min="7699" max="7699" width="17" style="53" bestFit="1" customWidth="1"/>
    <col min="7700" max="7700" width="11.42578125" style="53"/>
    <col min="7701" max="7701" width="5.28515625" style="53" bestFit="1" customWidth="1"/>
    <col min="7702" max="7702" width="11.42578125" style="53"/>
    <col min="7703" max="7703" width="5.28515625" style="53" bestFit="1" customWidth="1"/>
    <col min="7704" max="7704" width="11.42578125" style="53"/>
    <col min="7705" max="7705" width="5.28515625" style="53" bestFit="1" customWidth="1"/>
    <col min="7706" max="7706" width="11.42578125" style="53"/>
    <col min="7707" max="7707" width="5.28515625" style="53" bestFit="1" customWidth="1"/>
    <col min="7708" max="7708" width="11.42578125" style="53"/>
    <col min="7709" max="7709" width="4.140625" style="53" bestFit="1" customWidth="1"/>
    <col min="7710" max="7710" width="11.42578125" style="53"/>
    <col min="7711" max="7711" width="3.140625" style="53" bestFit="1" customWidth="1"/>
    <col min="7712" max="7712" width="14.140625" style="53" bestFit="1" customWidth="1"/>
    <col min="7713" max="7713" width="11.42578125" style="53"/>
    <col min="7714" max="7714" width="2.7109375" style="53" bestFit="1" customWidth="1"/>
    <col min="7715" max="7715" width="11.42578125" style="53"/>
    <col min="7716" max="7716" width="3.140625" style="53" bestFit="1" customWidth="1"/>
    <col min="7717" max="7717" width="16.42578125" style="53" bestFit="1" customWidth="1"/>
    <col min="7718" max="7718" width="22.42578125" style="53" customWidth="1"/>
    <col min="7719" max="7936" width="11.42578125" style="53"/>
    <col min="7937" max="7937" width="25.42578125" style="53" customWidth="1"/>
    <col min="7938" max="7938" width="16.28515625" style="53" customWidth="1"/>
    <col min="7939" max="7939" width="36" style="53" bestFit="1" customWidth="1"/>
    <col min="7940" max="7940" width="50.7109375" style="53" customWidth="1"/>
    <col min="7941" max="7941" width="13.5703125" style="53" customWidth="1"/>
    <col min="7942" max="7942" width="16.140625" style="53" customWidth="1"/>
    <col min="7943" max="7943" width="2.5703125" style="53" customWidth="1"/>
    <col min="7944" max="7944" width="11" style="53" customWidth="1"/>
    <col min="7945" max="7945" width="19.28515625" style="53" bestFit="1" customWidth="1"/>
    <col min="7946" max="7946" width="19" style="53" bestFit="1" customWidth="1"/>
    <col min="7947" max="7947" width="3.7109375" style="53" customWidth="1"/>
    <col min="7948" max="7948" width="4.42578125" style="53" bestFit="1" customWidth="1"/>
    <col min="7949" max="7949" width="3.42578125" style="53" bestFit="1" customWidth="1"/>
    <col min="7950" max="7950" width="4.42578125" style="53" bestFit="1" customWidth="1"/>
    <col min="7951" max="7951" width="3.42578125" style="53" bestFit="1" customWidth="1"/>
    <col min="7952" max="7952" width="4.42578125" style="53" bestFit="1" customWidth="1"/>
    <col min="7953" max="7953" width="3.42578125" style="53" bestFit="1" customWidth="1"/>
    <col min="7954" max="7954" width="4.42578125" style="53" bestFit="1" customWidth="1"/>
    <col min="7955" max="7955" width="17" style="53" bestFit="1" customWidth="1"/>
    <col min="7956" max="7956" width="11.42578125" style="53"/>
    <col min="7957" max="7957" width="5.28515625" style="53" bestFit="1" customWidth="1"/>
    <col min="7958" max="7958" width="11.42578125" style="53"/>
    <col min="7959" max="7959" width="5.28515625" style="53" bestFit="1" customWidth="1"/>
    <col min="7960" max="7960" width="11.42578125" style="53"/>
    <col min="7961" max="7961" width="5.28515625" style="53" bestFit="1" customWidth="1"/>
    <col min="7962" max="7962" width="11.42578125" style="53"/>
    <col min="7963" max="7963" width="5.28515625" style="53" bestFit="1" customWidth="1"/>
    <col min="7964" max="7964" width="11.42578125" style="53"/>
    <col min="7965" max="7965" width="4.140625" style="53" bestFit="1" customWidth="1"/>
    <col min="7966" max="7966" width="11.42578125" style="53"/>
    <col min="7967" max="7967" width="3.140625" style="53" bestFit="1" customWidth="1"/>
    <col min="7968" max="7968" width="14.140625" style="53" bestFit="1" customWidth="1"/>
    <col min="7969" max="7969" width="11.42578125" style="53"/>
    <col min="7970" max="7970" width="2.7109375" style="53" bestFit="1" customWidth="1"/>
    <col min="7971" max="7971" width="11.42578125" style="53"/>
    <col min="7972" max="7972" width="3.140625" style="53" bestFit="1" customWidth="1"/>
    <col min="7973" max="7973" width="16.42578125" style="53" bestFit="1" customWidth="1"/>
    <col min="7974" max="7974" width="22.42578125" style="53" customWidth="1"/>
    <col min="7975" max="8192" width="11.42578125" style="53"/>
    <col min="8193" max="8193" width="25.42578125" style="53" customWidth="1"/>
    <col min="8194" max="8194" width="16.28515625" style="53" customWidth="1"/>
    <col min="8195" max="8195" width="36" style="53" bestFit="1" customWidth="1"/>
    <col min="8196" max="8196" width="50.7109375" style="53" customWidth="1"/>
    <col min="8197" max="8197" width="13.5703125" style="53" customWidth="1"/>
    <col min="8198" max="8198" width="16.140625" style="53" customWidth="1"/>
    <col min="8199" max="8199" width="2.5703125" style="53" customWidth="1"/>
    <col min="8200" max="8200" width="11" style="53" customWidth="1"/>
    <col min="8201" max="8201" width="19.28515625" style="53" bestFit="1" customWidth="1"/>
    <col min="8202" max="8202" width="19" style="53" bestFit="1" customWidth="1"/>
    <col min="8203" max="8203" width="3.7109375" style="53" customWidth="1"/>
    <col min="8204" max="8204" width="4.42578125" style="53" bestFit="1" customWidth="1"/>
    <col min="8205" max="8205" width="3.42578125" style="53" bestFit="1" customWidth="1"/>
    <col min="8206" max="8206" width="4.42578125" style="53" bestFit="1" customWidth="1"/>
    <col min="8207" max="8207" width="3.42578125" style="53" bestFit="1" customWidth="1"/>
    <col min="8208" max="8208" width="4.42578125" style="53" bestFit="1" customWidth="1"/>
    <col min="8209" max="8209" width="3.42578125" style="53" bestFit="1" customWidth="1"/>
    <col min="8210" max="8210" width="4.42578125" style="53" bestFit="1" customWidth="1"/>
    <col min="8211" max="8211" width="17" style="53" bestFit="1" customWidth="1"/>
    <col min="8212" max="8212" width="11.42578125" style="53"/>
    <col min="8213" max="8213" width="5.28515625" style="53" bestFit="1" customWidth="1"/>
    <col min="8214" max="8214" width="11.42578125" style="53"/>
    <col min="8215" max="8215" width="5.28515625" style="53" bestFit="1" customWidth="1"/>
    <col min="8216" max="8216" width="11.42578125" style="53"/>
    <col min="8217" max="8217" width="5.28515625" style="53" bestFit="1" customWidth="1"/>
    <col min="8218" max="8218" width="11.42578125" style="53"/>
    <col min="8219" max="8219" width="5.28515625" style="53" bestFit="1" customWidth="1"/>
    <col min="8220" max="8220" width="11.42578125" style="53"/>
    <col min="8221" max="8221" width="4.140625" style="53" bestFit="1" customWidth="1"/>
    <col min="8222" max="8222" width="11.42578125" style="53"/>
    <col min="8223" max="8223" width="3.140625" style="53" bestFit="1" customWidth="1"/>
    <col min="8224" max="8224" width="14.140625" style="53" bestFit="1" customWidth="1"/>
    <col min="8225" max="8225" width="11.42578125" style="53"/>
    <col min="8226" max="8226" width="2.7109375" style="53" bestFit="1" customWidth="1"/>
    <col min="8227" max="8227" width="11.42578125" style="53"/>
    <col min="8228" max="8228" width="3.140625" style="53" bestFit="1" customWidth="1"/>
    <col min="8229" max="8229" width="16.42578125" style="53" bestFit="1" customWidth="1"/>
    <col min="8230" max="8230" width="22.42578125" style="53" customWidth="1"/>
    <col min="8231" max="8448" width="11.42578125" style="53"/>
    <col min="8449" max="8449" width="25.42578125" style="53" customWidth="1"/>
    <col min="8450" max="8450" width="16.28515625" style="53" customWidth="1"/>
    <col min="8451" max="8451" width="36" style="53" bestFit="1" customWidth="1"/>
    <col min="8452" max="8452" width="50.7109375" style="53" customWidth="1"/>
    <col min="8453" max="8453" width="13.5703125" style="53" customWidth="1"/>
    <col min="8454" max="8454" width="16.140625" style="53" customWidth="1"/>
    <col min="8455" max="8455" width="2.5703125" style="53" customWidth="1"/>
    <col min="8456" max="8456" width="11" style="53" customWidth="1"/>
    <col min="8457" max="8457" width="19.28515625" style="53" bestFit="1" customWidth="1"/>
    <col min="8458" max="8458" width="19" style="53" bestFit="1" customWidth="1"/>
    <col min="8459" max="8459" width="3.7109375" style="53" customWidth="1"/>
    <col min="8460" max="8460" width="4.42578125" style="53" bestFit="1" customWidth="1"/>
    <col min="8461" max="8461" width="3.42578125" style="53" bestFit="1" customWidth="1"/>
    <col min="8462" max="8462" width="4.42578125" style="53" bestFit="1" customWidth="1"/>
    <col min="8463" max="8463" width="3.42578125" style="53" bestFit="1" customWidth="1"/>
    <col min="8464" max="8464" width="4.42578125" style="53" bestFit="1" customWidth="1"/>
    <col min="8465" max="8465" width="3.42578125" style="53" bestFit="1" customWidth="1"/>
    <col min="8466" max="8466" width="4.42578125" style="53" bestFit="1" customWidth="1"/>
    <col min="8467" max="8467" width="17" style="53" bestFit="1" customWidth="1"/>
    <col min="8468" max="8468" width="11.42578125" style="53"/>
    <col min="8469" max="8469" width="5.28515625" style="53" bestFit="1" customWidth="1"/>
    <col min="8470" max="8470" width="11.42578125" style="53"/>
    <col min="8471" max="8471" width="5.28515625" style="53" bestFit="1" customWidth="1"/>
    <col min="8472" max="8472" width="11.42578125" style="53"/>
    <col min="8473" max="8473" width="5.28515625" style="53" bestFit="1" customWidth="1"/>
    <col min="8474" max="8474" width="11.42578125" style="53"/>
    <col min="8475" max="8475" width="5.28515625" style="53" bestFit="1" customWidth="1"/>
    <col min="8476" max="8476" width="11.42578125" style="53"/>
    <col min="8477" max="8477" width="4.140625" style="53" bestFit="1" customWidth="1"/>
    <col min="8478" max="8478" width="11.42578125" style="53"/>
    <col min="8479" max="8479" width="3.140625" style="53" bestFit="1" customWidth="1"/>
    <col min="8480" max="8480" width="14.140625" style="53" bestFit="1" customWidth="1"/>
    <col min="8481" max="8481" width="11.42578125" style="53"/>
    <col min="8482" max="8482" width="2.7109375" style="53" bestFit="1" customWidth="1"/>
    <col min="8483" max="8483" width="11.42578125" style="53"/>
    <col min="8484" max="8484" width="3.140625" style="53" bestFit="1" customWidth="1"/>
    <col min="8485" max="8485" width="16.42578125" style="53" bestFit="1" customWidth="1"/>
    <col min="8486" max="8486" width="22.42578125" style="53" customWidth="1"/>
    <col min="8487" max="8704" width="11.42578125" style="53"/>
    <col min="8705" max="8705" width="25.42578125" style="53" customWidth="1"/>
    <col min="8706" max="8706" width="16.28515625" style="53" customWidth="1"/>
    <col min="8707" max="8707" width="36" style="53" bestFit="1" customWidth="1"/>
    <col min="8708" max="8708" width="50.7109375" style="53" customWidth="1"/>
    <col min="8709" max="8709" width="13.5703125" style="53" customWidth="1"/>
    <col min="8710" max="8710" width="16.140625" style="53" customWidth="1"/>
    <col min="8711" max="8711" width="2.5703125" style="53" customWidth="1"/>
    <col min="8712" max="8712" width="11" style="53" customWidth="1"/>
    <col min="8713" max="8713" width="19.28515625" style="53" bestFit="1" customWidth="1"/>
    <col min="8714" max="8714" width="19" style="53" bestFit="1" customWidth="1"/>
    <col min="8715" max="8715" width="3.7109375" style="53" customWidth="1"/>
    <col min="8716" max="8716" width="4.42578125" style="53" bestFit="1" customWidth="1"/>
    <col min="8717" max="8717" width="3.42578125" style="53" bestFit="1" customWidth="1"/>
    <col min="8718" max="8718" width="4.42578125" style="53" bestFit="1" customWidth="1"/>
    <col min="8719" max="8719" width="3.42578125" style="53" bestFit="1" customWidth="1"/>
    <col min="8720" max="8720" width="4.42578125" style="53" bestFit="1" customWidth="1"/>
    <col min="8721" max="8721" width="3.42578125" style="53" bestFit="1" customWidth="1"/>
    <col min="8722" max="8722" width="4.42578125" style="53" bestFit="1" customWidth="1"/>
    <col min="8723" max="8723" width="17" style="53" bestFit="1" customWidth="1"/>
    <col min="8724" max="8724" width="11.42578125" style="53"/>
    <col min="8725" max="8725" width="5.28515625" style="53" bestFit="1" customWidth="1"/>
    <col min="8726" max="8726" width="11.42578125" style="53"/>
    <col min="8727" max="8727" width="5.28515625" style="53" bestFit="1" customWidth="1"/>
    <col min="8728" max="8728" width="11.42578125" style="53"/>
    <col min="8729" max="8729" width="5.28515625" style="53" bestFit="1" customWidth="1"/>
    <col min="8730" max="8730" width="11.42578125" style="53"/>
    <col min="8731" max="8731" width="5.28515625" style="53" bestFit="1" customWidth="1"/>
    <col min="8732" max="8732" width="11.42578125" style="53"/>
    <col min="8733" max="8733" width="4.140625" style="53" bestFit="1" customWidth="1"/>
    <col min="8734" max="8734" width="11.42578125" style="53"/>
    <col min="8735" max="8735" width="3.140625" style="53" bestFit="1" customWidth="1"/>
    <col min="8736" max="8736" width="14.140625" style="53" bestFit="1" customWidth="1"/>
    <col min="8737" max="8737" width="11.42578125" style="53"/>
    <col min="8738" max="8738" width="2.7109375" style="53" bestFit="1" customWidth="1"/>
    <col min="8739" max="8739" width="11.42578125" style="53"/>
    <col min="8740" max="8740" width="3.140625" style="53" bestFit="1" customWidth="1"/>
    <col min="8741" max="8741" width="16.42578125" style="53" bestFit="1" customWidth="1"/>
    <col min="8742" max="8742" width="22.42578125" style="53" customWidth="1"/>
    <col min="8743" max="8960" width="11.42578125" style="53"/>
    <col min="8961" max="8961" width="25.42578125" style="53" customWidth="1"/>
    <col min="8962" max="8962" width="16.28515625" style="53" customWidth="1"/>
    <col min="8963" max="8963" width="36" style="53" bestFit="1" customWidth="1"/>
    <col min="8964" max="8964" width="50.7109375" style="53" customWidth="1"/>
    <col min="8965" max="8965" width="13.5703125" style="53" customWidth="1"/>
    <col min="8966" max="8966" width="16.140625" style="53" customWidth="1"/>
    <col min="8967" max="8967" width="2.5703125" style="53" customWidth="1"/>
    <col min="8968" max="8968" width="11" style="53" customWidth="1"/>
    <col min="8969" max="8969" width="19.28515625" style="53" bestFit="1" customWidth="1"/>
    <col min="8970" max="8970" width="19" style="53" bestFit="1" customWidth="1"/>
    <col min="8971" max="8971" width="3.7109375" style="53" customWidth="1"/>
    <col min="8972" max="8972" width="4.42578125" style="53" bestFit="1" customWidth="1"/>
    <col min="8973" max="8973" width="3.42578125" style="53" bestFit="1" customWidth="1"/>
    <col min="8974" max="8974" width="4.42578125" style="53" bestFit="1" customWidth="1"/>
    <col min="8975" max="8975" width="3.42578125" style="53" bestFit="1" customWidth="1"/>
    <col min="8976" max="8976" width="4.42578125" style="53" bestFit="1" customWidth="1"/>
    <col min="8977" max="8977" width="3.42578125" style="53" bestFit="1" customWidth="1"/>
    <col min="8978" max="8978" width="4.42578125" style="53" bestFit="1" customWidth="1"/>
    <col min="8979" max="8979" width="17" style="53" bestFit="1" customWidth="1"/>
    <col min="8980" max="8980" width="11.42578125" style="53"/>
    <col min="8981" max="8981" width="5.28515625" style="53" bestFit="1" customWidth="1"/>
    <col min="8982" max="8982" width="11.42578125" style="53"/>
    <col min="8983" max="8983" width="5.28515625" style="53" bestFit="1" customWidth="1"/>
    <col min="8984" max="8984" width="11.42578125" style="53"/>
    <col min="8985" max="8985" width="5.28515625" style="53" bestFit="1" customWidth="1"/>
    <col min="8986" max="8986" width="11.42578125" style="53"/>
    <col min="8987" max="8987" width="5.28515625" style="53" bestFit="1" customWidth="1"/>
    <col min="8988" max="8988" width="11.42578125" style="53"/>
    <col min="8989" max="8989" width="4.140625" style="53" bestFit="1" customWidth="1"/>
    <col min="8990" max="8990" width="11.42578125" style="53"/>
    <col min="8991" max="8991" width="3.140625" style="53" bestFit="1" customWidth="1"/>
    <col min="8992" max="8992" width="14.140625" style="53" bestFit="1" customWidth="1"/>
    <col min="8993" max="8993" width="11.42578125" style="53"/>
    <col min="8994" max="8994" width="2.7109375" style="53" bestFit="1" customWidth="1"/>
    <col min="8995" max="8995" width="11.42578125" style="53"/>
    <col min="8996" max="8996" width="3.140625" style="53" bestFit="1" customWidth="1"/>
    <col min="8997" max="8997" width="16.42578125" style="53" bestFit="1" customWidth="1"/>
    <col min="8998" max="8998" width="22.42578125" style="53" customWidth="1"/>
    <col min="8999" max="9216" width="11.42578125" style="53"/>
    <col min="9217" max="9217" width="25.42578125" style="53" customWidth="1"/>
    <col min="9218" max="9218" width="16.28515625" style="53" customWidth="1"/>
    <col min="9219" max="9219" width="36" style="53" bestFit="1" customWidth="1"/>
    <col min="9220" max="9220" width="50.7109375" style="53" customWidth="1"/>
    <col min="9221" max="9221" width="13.5703125" style="53" customWidth="1"/>
    <col min="9222" max="9222" width="16.140625" style="53" customWidth="1"/>
    <col min="9223" max="9223" width="2.5703125" style="53" customWidth="1"/>
    <col min="9224" max="9224" width="11" style="53" customWidth="1"/>
    <col min="9225" max="9225" width="19.28515625" style="53" bestFit="1" customWidth="1"/>
    <col min="9226" max="9226" width="19" style="53" bestFit="1" customWidth="1"/>
    <col min="9227" max="9227" width="3.7109375" style="53" customWidth="1"/>
    <col min="9228" max="9228" width="4.42578125" style="53" bestFit="1" customWidth="1"/>
    <col min="9229" max="9229" width="3.42578125" style="53" bestFit="1" customWidth="1"/>
    <col min="9230" max="9230" width="4.42578125" style="53" bestFit="1" customWidth="1"/>
    <col min="9231" max="9231" width="3.42578125" style="53" bestFit="1" customWidth="1"/>
    <col min="9232" max="9232" width="4.42578125" style="53" bestFit="1" customWidth="1"/>
    <col min="9233" max="9233" width="3.42578125" style="53" bestFit="1" customWidth="1"/>
    <col min="9234" max="9234" width="4.42578125" style="53" bestFit="1" customWidth="1"/>
    <col min="9235" max="9235" width="17" style="53" bestFit="1" customWidth="1"/>
    <col min="9236" max="9236" width="11.42578125" style="53"/>
    <col min="9237" max="9237" width="5.28515625" style="53" bestFit="1" customWidth="1"/>
    <col min="9238" max="9238" width="11.42578125" style="53"/>
    <col min="9239" max="9239" width="5.28515625" style="53" bestFit="1" customWidth="1"/>
    <col min="9240" max="9240" width="11.42578125" style="53"/>
    <col min="9241" max="9241" width="5.28515625" style="53" bestFit="1" customWidth="1"/>
    <col min="9242" max="9242" width="11.42578125" style="53"/>
    <col min="9243" max="9243" width="5.28515625" style="53" bestFit="1" customWidth="1"/>
    <col min="9244" max="9244" width="11.42578125" style="53"/>
    <col min="9245" max="9245" width="4.140625" style="53" bestFit="1" customWidth="1"/>
    <col min="9246" max="9246" width="11.42578125" style="53"/>
    <col min="9247" max="9247" width="3.140625" style="53" bestFit="1" customWidth="1"/>
    <col min="9248" max="9248" width="14.140625" style="53" bestFit="1" customWidth="1"/>
    <col min="9249" max="9249" width="11.42578125" style="53"/>
    <col min="9250" max="9250" width="2.7109375" style="53" bestFit="1" customWidth="1"/>
    <col min="9251" max="9251" width="11.42578125" style="53"/>
    <col min="9252" max="9252" width="3.140625" style="53" bestFit="1" customWidth="1"/>
    <col min="9253" max="9253" width="16.42578125" style="53" bestFit="1" customWidth="1"/>
    <col min="9254" max="9254" width="22.42578125" style="53" customWidth="1"/>
    <col min="9255" max="9472" width="11.42578125" style="53"/>
    <col min="9473" max="9473" width="25.42578125" style="53" customWidth="1"/>
    <col min="9474" max="9474" width="16.28515625" style="53" customWidth="1"/>
    <col min="9475" max="9475" width="36" style="53" bestFit="1" customWidth="1"/>
    <col min="9476" max="9476" width="50.7109375" style="53" customWidth="1"/>
    <col min="9477" max="9477" width="13.5703125" style="53" customWidth="1"/>
    <col min="9478" max="9478" width="16.140625" style="53" customWidth="1"/>
    <col min="9479" max="9479" width="2.5703125" style="53" customWidth="1"/>
    <col min="9480" max="9480" width="11" style="53" customWidth="1"/>
    <col min="9481" max="9481" width="19.28515625" style="53" bestFit="1" customWidth="1"/>
    <col min="9482" max="9482" width="19" style="53" bestFit="1" customWidth="1"/>
    <col min="9483" max="9483" width="3.7109375" style="53" customWidth="1"/>
    <col min="9484" max="9484" width="4.42578125" style="53" bestFit="1" customWidth="1"/>
    <col min="9485" max="9485" width="3.42578125" style="53" bestFit="1" customWidth="1"/>
    <col min="9486" max="9486" width="4.42578125" style="53" bestFit="1" customWidth="1"/>
    <col min="9487" max="9487" width="3.42578125" style="53" bestFit="1" customWidth="1"/>
    <col min="9488" max="9488" width="4.42578125" style="53" bestFit="1" customWidth="1"/>
    <col min="9489" max="9489" width="3.42578125" style="53" bestFit="1" customWidth="1"/>
    <col min="9490" max="9490" width="4.42578125" style="53" bestFit="1" customWidth="1"/>
    <col min="9491" max="9491" width="17" style="53" bestFit="1" customWidth="1"/>
    <col min="9492" max="9492" width="11.42578125" style="53"/>
    <col min="9493" max="9493" width="5.28515625" style="53" bestFit="1" customWidth="1"/>
    <col min="9494" max="9494" width="11.42578125" style="53"/>
    <col min="9495" max="9495" width="5.28515625" style="53" bestFit="1" customWidth="1"/>
    <col min="9496" max="9496" width="11.42578125" style="53"/>
    <col min="9497" max="9497" width="5.28515625" style="53" bestFit="1" customWidth="1"/>
    <col min="9498" max="9498" width="11.42578125" style="53"/>
    <col min="9499" max="9499" width="5.28515625" style="53" bestFit="1" customWidth="1"/>
    <col min="9500" max="9500" width="11.42578125" style="53"/>
    <col min="9501" max="9501" width="4.140625" style="53" bestFit="1" customWidth="1"/>
    <col min="9502" max="9502" width="11.42578125" style="53"/>
    <col min="9503" max="9503" width="3.140625" style="53" bestFit="1" customWidth="1"/>
    <col min="9504" max="9504" width="14.140625" style="53" bestFit="1" customWidth="1"/>
    <col min="9505" max="9505" width="11.42578125" style="53"/>
    <col min="9506" max="9506" width="2.7109375" style="53" bestFit="1" customWidth="1"/>
    <col min="9507" max="9507" width="11.42578125" style="53"/>
    <col min="9508" max="9508" width="3.140625" style="53" bestFit="1" customWidth="1"/>
    <col min="9509" max="9509" width="16.42578125" style="53" bestFit="1" customWidth="1"/>
    <col min="9510" max="9510" width="22.42578125" style="53" customWidth="1"/>
    <col min="9511" max="9728" width="11.42578125" style="53"/>
    <col min="9729" max="9729" width="25.42578125" style="53" customWidth="1"/>
    <col min="9730" max="9730" width="16.28515625" style="53" customWidth="1"/>
    <col min="9731" max="9731" width="36" style="53" bestFit="1" customWidth="1"/>
    <col min="9732" max="9732" width="50.7109375" style="53" customWidth="1"/>
    <col min="9733" max="9733" width="13.5703125" style="53" customWidth="1"/>
    <col min="9734" max="9734" width="16.140625" style="53" customWidth="1"/>
    <col min="9735" max="9735" width="2.5703125" style="53" customWidth="1"/>
    <col min="9736" max="9736" width="11" style="53" customWidth="1"/>
    <col min="9737" max="9737" width="19.28515625" style="53" bestFit="1" customWidth="1"/>
    <col min="9738" max="9738" width="19" style="53" bestFit="1" customWidth="1"/>
    <col min="9739" max="9739" width="3.7109375" style="53" customWidth="1"/>
    <col min="9740" max="9740" width="4.42578125" style="53" bestFit="1" customWidth="1"/>
    <col min="9741" max="9741" width="3.42578125" style="53" bestFit="1" customWidth="1"/>
    <col min="9742" max="9742" width="4.42578125" style="53" bestFit="1" customWidth="1"/>
    <col min="9743" max="9743" width="3.42578125" style="53" bestFit="1" customWidth="1"/>
    <col min="9744" max="9744" width="4.42578125" style="53" bestFit="1" customWidth="1"/>
    <col min="9745" max="9745" width="3.42578125" style="53" bestFit="1" customWidth="1"/>
    <col min="9746" max="9746" width="4.42578125" style="53" bestFit="1" customWidth="1"/>
    <col min="9747" max="9747" width="17" style="53" bestFit="1" customWidth="1"/>
    <col min="9748" max="9748" width="11.42578125" style="53"/>
    <col min="9749" max="9749" width="5.28515625" style="53" bestFit="1" customWidth="1"/>
    <col min="9750" max="9750" width="11.42578125" style="53"/>
    <col min="9751" max="9751" width="5.28515625" style="53" bestFit="1" customWidth="1"/>
    <col min="9752" max="9752" width="11.42578125" style="53"/>
    <col min="9753" max="9753" width="5.28515625" style="53" bestFit="1" customWidth="1"/>
    <col min="9754" max="9754" width="11.42578125" style="53"/>
    <col min="9755" max="9755" width="5.28515625" style="53" bestFit="1" customWidth="1"/>
    <col min="9756" max="9756" width="11.42578125" style="53"/>
    <col min="9757" max="9757" width="4.140625" style="53" bestFit="1" customWidth="1"/>
    <col min="9758" max="9758" width="11.42578125" style="53"/>
    <col min="9759" max="9759" width="3.140625" style="53" bestFit="1" customWidth="1"/>
    <col min="9760" max="9760" width="14.140625" style="53" bestFit="1" customWidth="1"/>
    <col min="9761" max="9761" width="11.42578125" style="53"/>
    <col min="9762" max="9762" width="2.7109375" style="53" bestFit="1" customWidth="1"/>
    <col min="9763" max="9763" width="11.42578125" style="53"/>
    <col min="9764" max="9764" width="3.140625" style="53" bestFit="1" customWidth="1"/>
    <col min="9765" max="9765" width="16.42578125" style="53" bestFit="1" customWidth="1"/>
    <col min="9766" max="9766" width="22.42578125" style="53" customWidth="1"/>
    <col min="9767" max="9984" width="11.42578125" style="53"/>
    <col min="9985" max="9985" width="25.42578125" style="53" customWidth="1"/>
    <col min="9986" max="9986" width="16.28515625" style="53" customWidth="1"/>
    <col min="9987" max="9987" width="36" style="53" bestFit="1" customWidth="1"/>
    <col min="9988" max="9988" width="50.7109375" style="53" customWidth="1"/>
    <col min="9989" max="9989" width="13.5703125" style="53" customWidth="1"/>
    <col min="9990" max="9990" width="16.140625" style="53" customWidth="1"/>
    <col min="9991" max="9991" width="2.5703125" style="53" customWidth="1"/>
    <col min="9992" max="9992" width="11" style="53" customWidth="1"/>
    <col min="9993" max="9993" width="19.28515625" style="53" bestFit="1" customWidth="1"/>
    <col min="9994" max="9994" width="19" style="53" bestFit="1" customWidth="1"/>
    <col min="9995" max="9995" width="3.7109375" style="53" customWidth="1"/>
    <col min="9996" max="9996" width="4.42578125" style="53" bestFit="1" customWidth="1"/>
    <col min="9997" max="9997" width="3.42578125" style="53" bestFit="1" customWidth="1"/>
    <col min="9998" max="9998" width="4.42578125" style="53" bestFit="1" customWidth="1"/>
    <col min="9999" max="9999" width="3.42578125" style="53" bestFit="1" customWidth="1"/>
    <col min="10000" max="10000" width="4.42578125" style="53" bestFit="1" customWidth="1"/>
    <col min="10001" max="10001" width="3.42578125" style="53" bestFit="1" customWidth="1"/>
    <col min="10002" max="10002" width="4.42578125" style="53" bestFit="1" customWidth="1"/>
    <col min="10003" max="10003" width="17" style="53" bestFit="1" customWidth="1"/>
    <col min="10004" max="10004" width="11.42578125" style="53"/>
    <col min="10005" max="10005" width="5.28515625" style="53" bestFit="1" customWidth="1"/>
    <col min="10006" max="10006" width="11.42578125" style="53"/>
    <col min="10007" max="10007" width="5.28515625" style="53" bestFit="1" customWidth="1"/>
    <col min="10008" max="10008" width="11.42578125" style="53"/>
    <col min="10009" max="10009" width="5.28515625" style="53" bestFit="1" customWidth="1"/>
    <col min="10010" max="10010" width="11.42578125" style="53"/>
    <col min="10011" max="10011" width="5.28515625" style="53" bestFit="1" customWidth="1"/>
    <col min="10012" max="10012" width="11.42578125" style="53"/>
    <col min="10013" max="10013" width="4.140625" style="53" bestFit="1" customWidth="1"/>
    <col min="10014" max="10014" width="11.42578125" style="53"/>
    <col min="10015" max="10015" width="3.140625" style="53" bestFit="1" customWidth="1"/>
    <col min="10016" max="10016" width="14.140625" style="53" bestFit="1" customWidth="1"/>
    <col min="10017" max="10017" width="11.42578125" style="53"/>
    <col min="10018" max="10018" width="2.7109375" style="53" bestFit="1" customWidth="1"/>
    <col min="10019" max="10019" width="11.42578125" style="53"/>
    <col min="10020" max="10020" width="3.140625" style="53" bestFit="1" customWidth="1"/>
    <col min="10021" max="10021" width="16.42578125" style="53" bestFit="1" customWidth="1"/>
    <col min="10022" max="10022" width="22.42578125" style="53" customWidth="1"/>
    <col min="10023" max="10240" width="11.42578125" style="53"/>
    <col min="10241" max="10241" width="25.42578125" style="53" customWidth="1"/>
    <col min="10242" max="10242" width="16.28515625" style="53" customWidth="1"/>
    <col min="10243" max="10243" width="36" style="53" bestFit="1" customWidth="1"/>
    <col min="10244" max="10244" width="50.7109375" style="53" customWidth="1"/>
    <col min="10245" max="10245" width="13.5703125" style="53" customWidth="1"/>
    <col min="10246" max="10246" width="16.140625" style="53" customWidth="1"/>
    <col min="10247" max="10247" width="2.5703125" style="53" customWidth="1"/>
    <col min="10248" max="10248" width="11" style="53" customWidth="1"/>
    <col min="10249" max="10249" width="19.28515625" style="53" bestFit="1" customWidth="1"/>
    <col min="10250" max="10250" width="19" style="53" bestFit="1" customWidth="1"/>
    <col min="10251" max="10251" width="3.7109375" style="53" customWidth="1"/>
    <col min="10252" max="10252" width="4.42578125" style="53" bestFit="1" customWidth="1"/>
    <col min="10253" max="10253" width="3.42578125" style="53" bestFit="1" customWidth="1"/>
    <col min="10254" max="10254" width="4.42578125" style="53" bestFit="1" customWidth="1"/>
    <col min="10255" max="10255" width="3.42578125" style="53" bestFit="1" customWidth="1"/>
    <col min="10256" max="10256" width="4.42578125" style="53" bestFit="1" customWidth="1"/>
    <col min="10257" max="10257" width="3.42578125" style="53" bestFit="1" customWidth="1"/>
    <col min="10258" max="10258" width="4.42578125" style="53" bestFit="1" customWidth="1"/>
    <col min="10259" max="10259" width="17" style="53" bestFit="1" customWidth="1"/>
    <col min="10260" max="10260" width="11.42578125" style="53"/>
    <col min="10261" max="10261" width="5.28515625" style="53" bestFit="1" customWidth="1"/>
    <col min="10262" max="10262" width="11.42578125" style="53"/>
    <col min="10263" max="10263" width="5.28515625" style="53" bestFit="1" customWidth="1"/>
    <col min="10264" max="10264" width="11.42578125" style="53"/>
    <col min="10265" max="10265" width="5.28515625" style="53" bestFit="1" customWidth="1"/>
    <col min="10266" max="10266" width="11.42578125" style="53"/>
    <col min="10267" max="10267" width="5.28515625" style="53" bestFit="1" customWidth="1"/>
    <col min="10268" max="10268" width="11.42578125" style="53"/>
    <col min="10269" max="10269" width="4.140625" style="53" bestFit="1" customWidth="1"/>
    <col min="10270" max="10270" width="11.42578125" style="53"/>
    <col min="10271" max="10271" width="3.140625" style="53" bestFit="1" customWidth="1"/>
    <col min="10272" max="10272" width="14.140625" style="53" bestFit="1" customWidth="1"/>
    <col min="10273" max="10273" width="11.42578125" style="53"/>
    <col min="10274" max="10274" width="2.7109375" style="53" bestFit="1" customWidth="1"/>
    <col min="10275" max="10275" width="11.42578125" style="53"/>
    <col min="10276" max="10276" width="3.140625" style="53" bestFit="1" customWidth="1"/>
    <col min="10277" max="10277" width="16.42578125" style="53" bestFit="1" customWidth="1"/>
    <col min="10278" max="10278" width="22.42578125" style="53" customWidth="1"/>
    <col min="10279" max="10496" width="11.42578125" style="53"/>
    <col min="10497" max="10497" width="25.42578125" style="53" customWidth="1"/>
    <col min="10498" max="10498" width="16.28515625" style="53" customWidth="1"/>
    <col min="10499" max="10499" width="36" style="53" bestFit="1" customWidth="1"/>
    <col min="10500" max="10500" width="50.7109375" style="53" customWidth="1"/>
    <col min="10501" max="10501" width="13.5703125" style="53" customWidth="1"/>
    <col min="10502" max="10502" width="16.140625" style="53" customWidth="1"/>
    <col min="10503" max="10503" width="2.5703125" style="53" customWidth="1"/>
    <col min="10504" max="10504" width="11" style="53" customWidth="1"/>
    <col min="10505" max="10505" width="19.28515625" style="53" bestFit="1" customWidth="1"/>
    <col min="10506" max="10506" width="19" style="53" bestFit="1" customWidth="1"/>
    <col min="10507" max="10507" width="3.7109375" style="53" customWidth="1"/>
    <col min="10508" max="10508" width="4.42578125" style="53" bestFit="1" customWidth="1"/>
    <col min="10509" max="10509" width="3.42578125" style="53" bestFit="1" customWidth="1"/>
    <col min="10510" max="10510" width="4.42578125" style="53" bestFit="1" customWidth="1"/>
    <col min="10511" max="10511" width="3.42578125" style="53" bestFit="1" customWidth="1"/>
    <col min="10512" max="10512" width="4.42578125" style="53" bestFit="1" customWidth="1"/>
    <col min="10513" max="10513" width="3.42578125" style="53" bestFit="1" customWidth="1"/>
    <col min="10514" max="10514" width="4.42578125" style="53" bestFit="1" customWidth="1"/>
    <col min="10515" max="10515" width="17" style="53" bestFit="1" customWidth="1"/>
    <col min="10516" max="10516" width="11.42578125" style="53"/>
    <col min="10517" max="10517" width="5.28515625" style="53" bestFit="1" customWidth="1"/>
    <col min="10518" max="10518" width="11.42578125" style="53"/>
    <col min="10519" max="10519" width="5.28515625" style="53" bestFit="1" customWidth="1"/>
    <col min="10520" max="10520" width="11.42578125" style="53"/>
    <col min="10521" max="10521" width="5.28515625" style="53" bestFit="1" customWidth="1"/>
    <col min="10522" max="10522" width="11.42578125" style="53"/>
    <col min="10523" max="10523" width="5.28515625" style="53" bestFit="1" customWidth="1"/>
    <col min="10524" max="10524" width="11.42578125" style="53"/>
    <col min="10525" max="10525" width="4.140625" style="53" bestFit="1" customWidth="1"/>
    <col min="10526" max="10526" width="11.42578125" style="53"/>
    <col min="10527" max="10527" width="3.140625" style="53" bestFit="1" customWidth="1"/>
    <col min="10528" max="10528" width="14.140625" style="53" bestFit="1" customWidth="1"/>
    <col min="10529" max="10529" width="11.42578125" style="53"/>
    <col min="10530" max="10530" width="2.7109375" style="53" bestFit="1" customWidth="1"/>
    <col min="10531" max="10531" width="11.42578125" style="53"/>
    <col min="10532" max="10532" width="3.140625" style="53" bestFit="1" customWidth="1"/>
    <col min="10533" max="10533" width="16.42578125" style="53" bestFit="1" customWidth="1"/>
    <col min="10534" max="10534" width="22.42578125" style="53" customWidth="1"/>
    <col min="10535" max="10752" width="11.42578125" style="53"/>
    <col min="10753" max="10753" width="25.42578125" style="53" customWidth="1"/>
    <col min="10754" max="10754" width="16.28515625" style="53" customWidth="1"/>
    <col min="10755" max="10755" width="36" style="53" bestFit="1" customWidth="1"/>
    <col min="10756" max="10756" width="50.7109375" style="53" customWidth="1"/>
    <col min="10757" max="10757" width="13.5703125" style="53" customWidth="1"/>
    <col min="10758" max="10758" width="16.140625" style="53" customWidth="1"/>
    <col min="10759" max="10759" width="2.5703125" style="53" customWidth="1"/>
    <col min="10760" max="10760" width="11" style="53" customWidth="1"/>
    <col min="10761" max="10761" width="19.28515625" style="53" bestFit="1" customWidth="1"/>
    <col min="10762" max="10762" width="19" style="53" bestFit="1" customWidth="1"/>
    <col min="10763" max="10763" width="3.7109375" style="53" customWidth="1"/>
    <col min="10764" max="10764" width="4.42578125" style="53" bestFit="1" customWidth="1"/>
    <col min="10765" max="10765" width="3.42578125" style="53" bestFit="1" customWidth="1"/>
    <col min="10766" max="10766" width="4.42578125" style="53" bestFit="1" customWidth="1"/>
    <col min="10767" max="10767" width="3.42578125" style="53" bestFit="1" customWidth="1"/>
    <col min="10768" max="10768" width="4.42578125" style="53" bestFit="1" customWidth="1"/>
    <col min="10769" max="10769" width="3.42578125" style="53" bestFit="1" customWidth="1"/>
    <col min="10770" max="10770" width="4.42578125" style="53" bestFit="1" customWidth="1"/>
    <col min="10771" max="10771" width="17" style="53" bestFit="1" customWidth="1"/>
    <col min="10772" max="10772" width="11.42578125" style="53"/>
    <col min="10773" max="10773" width="5.28515625" style="53" bestFit="1" customWidth="1"/>
    <col min="10774" max="10774" width="11.42578125" style="53"/>
    <col min="10775" max="10775" width="5.28515625" style="53" bestFit="1" customWidth="1"/>
    <col min="10776" max="10776" width="11.42578125" style="53"/>
    <col min="10777" max="10777" width="5.28515625" style="53" bestFit="1" customWidth="1"/>
    <col min="10778" max="10778" width="11.42578125" style="53"/>
    <col min="10779" max="10779" width="5.28515625" style="53" bestFit="1" customWidth="1"/>
    <col min="10780" max="10780" width="11.42578125" style="53"/>
    <col min="10781" max="10781" width="4.140625" style="53" bestFit="1" customWidth="1"/>
    <col min="10782" max="10782" width="11.42578125" style="53"/>
    <col min="10783" max="10783" width="3.140625" style="53" bestFit="1" customWidth="1"/>
    <col min="10784" max="10784" width="14.140625" style="53" bestFit="1" customWidth="1"/>
    <col min="10785" max="10785" width="11.42578125" style="53"/>
    <col min="10786" max="10786" width="2.7109375" style="53" bestFit="1" customWidth="1"/>
    <col min="10787" max="10787" width="11.42578125" style="53"/>
    <col min="10788" max="10788" width="3.140625" style="53" bestFit="1" customWidth="1"/>
    <col min="10789" max="10789" width="16.42578125" style="53" bestFit="1" customWidth="1"/>
    <col min="10790" max="10790" width="22.42578125" style="53" customWidth="1"/>
    <col min="10791" max="11008" width="11.42578125" style="53"/>
    <col min="11009" max="11009" width="25.42578125" style="53" customWidth="1"/>
    <col min="11010" max="11010" width="16.28515625" style="53" customWidth="1"/>
    <col min="11011" max="11011" width="36" style="53" bestFit="1" customWidth="1"/>
    <col min="11012" max="11012" width="50.7109375" style="53" customWidth="1"/>
    <col min="11013" max="11013" width="13.5703125" style="53" customWidth="1"/>
    <col min="11014" max="11014" width="16.140625" style="53" customWidth="1"/>
    <col min="11015" max="11015" width="2.5703125" style="53" customWidth="1"/>
    <col min="11016" max="11016" width="11" style="53" customWidth="1"/>
    <col min="11017" max="11017" width="19.28515625" style="53" bestFit="1" customWidth="1"/>
    <col min="11018" max="11018" width="19" style="53" bestFit="1" customWidth="1"/>
    <col min="11019" max="11019" width="3.7109375" style="53" customWidth="1"/>
    <col min="11020" max="11020" width="4.42578125" style="53" bestFit="1" customWidth="1"/>
    <col min="11021" max="11021" width="3.42578125" style="53" bestFit="1" customWidth="1"/>
    <col min="11022" max="11022" width="4.42578125" style="53" bestFit="1" customWidth="1"/>
    <col min="11023" max="11023" width="3.42578125" style="53" bestFit="1" customWidth="1"/>
    <col min="11024" max="11024" width="4.42578125" style="53" bestFit="1" customWidth="1"/>
    <col min="11025" max="11025" width="3.42578125" style="53" bestFit="1" customWidth="1"/>
    <col min="11026" max="11026" width="4.42578125" style="53" bestFit="1" customWidth="1"/>
    <col min="11027" max="11027" width="17" style="53" bestFit="1" customWidth="1"/>
    <col min="11028" max="11028" width="11.42578125" style="53"/>
    <col min="11029" max="11029" width="5.28515625" style="53" bestFit="1" customWidth="1"/>
    <col min="11030" max="11030" width="11.42578125" style="53"/>
    <col min="11031" max="11031" width="5.28515625" style="53" bestFit="1" customWidth="1"/>
    <col min="11032" max="11032" width="11.42578125" style="53"/>
    <col min="11033" max="11033" width="5.28515625" style="53" bestFit="1" customWidth="1"/>
    <col min="11034" max="11034" width="11.42578125" style="53"/>
    <col min="11035" max="11035" width="5.28515625" style="53" bestFit="1" customWidth="1"/>
    <col min="11036" max="11036" width="11.42578125" style="53"/>
    <col min="11037" max="11037" width="4.140625" style="53" bestFit="1" customWidth="1"/>
    <col min="11038" max="11038" width="11.42578125" style="53"/>
    <col min="11039" max="11039" width="3.140625" style="53" bestFit="1" customWidth="1"/>
    <col min="11040" max="11040" width="14.140625" style="53" bestFit="1" customWidth="1"/>
    <col min="11041" max="11041" width="11.42578125" style="53"/>
    <col min="11042" max="11042" width="2.7109375" style="53" bestFit="1" customWidth="1"/>
    <col min="11043" max="11043" width="11.42578125" style="53"/>
    <col min="11044" max="11044" width="3.140625" style="53" bestFit="1" customWidth="1"/>
    <col min="11045" max="11045" width="16.42578125" style="53" bestFit="1" customWidth="1"/>
    <col min="11046" max="11046" width="22.42578125" style="53" customWidth="1"/>
    <col min="11047" max="11264" width="11.42578125" style="53"/>
    <col min="11265" max="11265" width="25.42578125" style="53" customWidth="1"/>
    <col min="11266" max="11266" width="16.28515625" style="53" customWidth="1"/>
    <col min="11267" max="11267" width="36" style="53" bestFit="1" customWidth="1"/>
    <col min="11268" max="11268" width="50.7109375" style="53" customWidth="1"/>
    <col min="11269" max="11269" width="13.5703125" style="53" customWidth="1"/>
    <col min="11270" max="11270" width="16.140625" style="53" customWidth="1"/>
    <col min="11271" max="11271" width="2.5703125" style="53" customWidth="1"/>
    <col min="11272" max="11272" width="11" style="53" customWidth="1"/>
    <col min="11273" max="11273" width="19.28515625" style="53" bestFit="1" customWidth="1"/>
    <col min="11274" max="11274" width="19" style="53" bestFit="1" customWidth="1"/>
    <col min="11275" max="11275" width="3.7109375" style="53" customWidth="1"/>
    <col min="11276" max="11276" width="4.42578125" style="53" bestFit="1" customWidth="1"/>
    <col min="11277" max="11277" width="3.42578125" style="53" bestFit="1" customWidth="1"/>
    <col min="11278" max="11278" width="4.42578125" style="53" bestFit="1" customWidth="1"/>
    <col min="11279" max="11279" width="3.42578125" style="53" bestFit="1" customWidth="1"/>
    <col min="11280" max="11280" width="4.42578125" style="53" bestFit="1" customWidth="1"/>
    <col min="11281" max="11281" width="3.42578125" style="53" bestFit="1" customWidth="1"/>
    <col min="11282" max="11282" width="4.42578125" style="53" bestFit="1" customWidth="1"/>
    <col min="11283" max="11283" width="17" style="53" bestFit="1" customWidth="1"/>
    <col min="11284" max="11284" width="11.42578125" style="53"/>
    <col min="11285" max="11285" width="5.28515625" style="53" bestFit="1" customWidth="1"/>
    <col min="11286" max="11286" width="11.42578125" style="53"/>
    <col min="11287" max="11287" width="5.28515625" style="53" bestFit="1" customWidth="1"/>
    <col min="11288" max="11288" width="11.42578125" style="53"/>
    <col min="11289" max="11289" width="5.28515625" style="53" bestFit="1" customWidth="1"/>
    <col min="11290" max="11290" width="11.42578125" style="53"/>
    <col min="11291" max="11291" width="5.28515625" style="53" bestFit="1" customWidth="1"/>
    <col min="11292" max="11292" width="11.42578125" style="53"/>
    <col min="11293" max="11293" width="4.140625" style="53" bestFit="1" customWidth="1"/>
    <col min="11294" max="11294" width="11.42578125" style="53"/>
    <col min="11295" max="11295" width="3.140625" style="53" bestFit="1" customWidth="1"/>
    <col min="11296" max="11296" width="14.140625" style="53" bestFit="1" customWidth="1"/>
    <col min="11297" max="11297" width="11.42578125" style="53"/>
    <col min="11298" max="11298" width="2.7109375" style="53" bestFit="1" customWidth="1"/>
    <col min="11299" max="11299" width="11.42578125" style="53"/>
    <col min="11300" max="11300" width="3.140625" style="53" bestFit="1" customWidth="1"/>
    <col min="11301" max="11301" width="16.42578125" style="53" bestFit="1" customWidth="1"/>
    <col min="11302" max="11302" width="22.42578125" style="53" customWidth="1"/>
    <col min="11303" max="11520" width="11.42578125" style="53"/>
    <col min="11521" max="11521" width="25.42578125" style="53" customWidth="1"/>
    <col min="11522" max="11522" width="16.28515625" style="53" customWidth="1"/>
    <col min="11523" max="11523" width="36" style="53" bestFit="1" customWidth="1"/>
    <col min="11524" max="11524" width="50.7109375" style="53" customWidth="1"/>
    <col min="11525" max="11525" width="13.5703125" style="53" customWidth="1"/>
    <col min="11526" max="11526" width="16.140625" style="53" customWidth="1"/>
    <col min="11527" max="11527" width="2.5703125" style="53" customWidth="1"/>
    <col min="11528" max="11528" width="11" style="53" customWidth="1"/>
    <col min="11529" max="11529" width="19.28515625" style="53" bestFit="1" customWidth="1"/>
    <col min="11530" max="11530" width="19" style="53" bestFit="1" customWidth="1"/>
    <col min="11531" max="11531" width="3.7109375" style="53" customWidth="1"/>
    <col min="11532" max="11532" width="4.42578125" style="53" bestFit="1" customWidth="1"/>
    <col min="11533" max="11533" width="3.42578125" style="53" bestFit="1" customWidth="1"/>
    <col min="11534" max="11534" width="4.42578125" style="53" bestFit="1" customWidth="1"/>
    <col min="11535" max="11535" width="3.42578125" style="53" bestFit="1" customWidth="1"/>
    <col min="11536" max="11536" width="4.42578125" style="53" bestFit="1" customWidth="1"/>
    <col min="11537" max="11537" width="3.42578125" style="53" bestFit="1" customWidth="1"/>
    <col min="11538" max="11538" width="4.42578125" style="53" bestFit="1" customWidth="1"/>
    <col min="11539" max="11539" width="17" style="53" bestFit="1" customWidth="1"/>
    <col min="11540" max="11540" width="11.42578125" style="53"/>
    <col min="11541" max="11541" width="5.28515625" style="53" bestFit="1" customWidth="1"/>
    <col min="11542" max="11542" width="11.42578125" style="53"/>
    <col min="11543" max="11543" width="5.28515625" style="53" bestFit="1" customWidth="1"/>
    <col min="11544" max="11544" width="11.42578125" style="53"/>
    <col min="11545" max="11545" width="5.28515625" style="53" bestFit="1" customWidth="1"/>
    <col min="11546" max="11546" width="11.42578125" style="53"/>
    <col min="11547" max="11547" width="5.28515625" style="53" bestFit="1" customWidth="1"/>
    <col min="11548" max="11548" width="11.42578125" style="53"/>
    <col min="11549" max="11549" width="4.140625" style="53" bestFit="1" customWidth="1"/>
    <col min="11550" max="11550" width="11.42578125" style="53"/>
    <col min="11551" max="11551" width="3.140625" style="53" bestFit="1" customWidth="1"/>
    <col min="11552" max="11552" width="14.140625" style="53" bestFit="1" customWidth="1"/>
    <col min="11553" max="11553" width="11.42578125" style="53"/>
    <col min="11554" max="11554" width="2.7109375" style="53" bestFit="1" customWidth="1"/>
    <col min="11555" max="11555" width="11.42578125" style="53"/>
    <col min="11556" max="11556" width="3.140625" style="53" bestFit="1" customWidth="1"/>
    <col min="11557" max="11557" width="16.42578125" style="53" bestFit="1" customWidth="1"/>
    <col min="11558" max="11558" width="22.42578125" style="53" customWidth="1"/>
    <col min="11559" max="11776" width="11.42578125" style="53"/>
    <col min="11777" max="11777" width="25.42578125" style="53" customWidth="1"/>
    <col min="11778" max="11778" width="16.28515625" style="53" customWidth="1"/>
    <col min="11779" max="11779" width="36" style="53" bestFit="1" customWidth="1"/>
    <col min="11780" max="11780" width="50.7109375" style="53" customWidth="1"/>
    <col min="11781" max="11781" width="13.5703125" style="53" customWidth="1"/>
    <col min="11782" max="11782" width="16.140625" style="53" customWidth="1"/>
    <col min="11783" max="11783" width="2.5703125" style="53" customWidth="1"/>
    <col min="11784" max="11784" width="11" style="53" customWidth="1"/>
    <col min="11785" max="11785" width="19.28515625" style="53" bestFit="1" customWidth="1"/>
    <col min="11786" max="11786" width="19" style="53" bestFit="1" customWidth="1"/>
    <col min="11787" max="11787" width="3.7109375" style="53" customWidth="1"/>
    <col min="11788" max="11788" width="4.42578125" style="53" bestFit="1" customWidth="1"/>
    <col min="11789" max="11789" width="3.42578125" style="53" bestFit="1" customWidth="1"/>
    <col min="11790" max="11790" width="4.42578125" style="53" bestFit="1" customWidth="1"/>
    <col min="11791" max="11791" width="3.42578125" style="53" bestFit="1" customWidth="1"/>
    <col min="11792" max="11792" width="4.42578125" style="53" bestFit="1" customWidth="1"/>
    <col min="11793" max="11793" width="3.42578125" style="53" bestFit="1" customWidth="1"/>
    <col min="11794" max="11794" width="4.42578125" style="53" bestFit="1" customWidth="1"/>
    <col min="11795" max="11795" width="17" style="53" bestFit="1" customWidth="1"/>
    <col min="11796" max="11796" width="11.42578125" style="53"/>
    <col min="11797" max="11797" width="5.28515625" style="53" bestFit="1" customWidth="1"/>
    <col min="11798" max="11798" width="11.42578125" style="53"/>
    <col min="11799" max="11799" width="5.28515625" style="53" bestFit="1" customWidth="1"/>
    <col min="11800" max="11800" width="11.42578125" style="53"/>
    <col min="11801" max="11801" width="5.28515625" style="53" bestFit="1" customWidth="1"/>
    <col min="11802" max="11802" width="11.42578125" style="53"/>
    <col min="11803" max="11803" width="5.28515625" style="53" bestFit="1" customWidth="1"/>
    <col min="11804" max="11804" width="11.42578125" style="53"/>
    <col min="11805" max="11805" width="4.140625" style="53" bestFit="1" customWidth="1"/>
    <col min="11806" max="11806" width="11.42578125" style="53"/>
    <col min="11807" max="11807" width="3.140625" style="53" bestFit="1" customWidth="1"/>
    <col min="11808" max="11808" width="14.140625" style="53" bestFit="1" customWidth="1"/>
    <col min="11809" max="11809" width="11.42578125" style="53"/>
    <col min="11810" max="11810" width="2.7109375" style="53" bestFit="1" customWidth="1"/>
    <col min="11811" max="11811" width="11.42578125" style="53"/>
    <col min="11812" max="11812" width="3.140625" style="53" bestFit="1" customWidth="1"/>
    <col min="11813" max="11813" width="16.42578125" style="53" bestFit="1" customWidth="1"/>
    <col min="11814" max="11814" width="22.42578125" style="53" customWidth="1"/>
    <col min="11815" max="12032" width="11.42578125" style="53"/>
    <col min="12033" max="12033" width="25.42578125" style="53" customWidth="1"/>
    <col min="12034" max="12034" width="16.28515625" style="53" customWidth="1"/>
    <col min="12035" max="12035" width="36" style="53" bestFit="1" customWidth="1"/>
    <col min="12036" max="12036" width="50.7109375" style="53" customWidth="1"/>
    <col min="12037" max="12037" width="13.5703125" style="53" customWidth="1"/>
    <col min="12038" max="12038" width="16.140625" style="53" customWidth="1"/>
    <col min="12039" max="12039" width="2.5703125" style="53" customWidth="1"/>
    <col min="12040" max="12040" width="11" style="53" customWidth="1"/>
    <col min="12041" max="12041" width="19.28515625" style="53" bestFit="1" customWidth="1"/>
    <col min="12042" max="12042" width="19" style="53" bestFit="1" customWidth="1"/>
    <col min="12043" max="12043" width="3.7109375" style="53" customWidth="1"/>
    <col min="12044" max="12044" width="4.42578125" style="53" bestFit="1" customWidth="1"/>
    <col min="12045" max="12045" width="3.42578125" style="53" bestFit="1" customWidth="1"/>
    <col min="12046" max="12046" width="4.42578125" style="53" bestFit="1" customWidth="1"/>
    <col min="12047" max="12047" width="3.42578125" style="53" bestFit="1" customWidth="1"/>
    <col min="12048" max="12048" width="4.42578125" style="53" bestFit="1" customWidth="1"/>
    <col min="12049" max="12049" width="3.42578125" style="53" bestFit="1" customWidth="1"/>
    <col min="12050" max="12050" width="4.42578125" style="53" bestFit="1" customWidth="1"/>
    <col min="12051" max="12051" width="17" style="53" bestFit="1" customWidth="1"/>
    <col min="12052" max="12052" width="11.42578125" style="53"/>
    <col min="12053" max="12053" width="5.28515625" style="53" bestFit="1" customWidth="1"/>
    <col min="12054" max="12054" width="11.42578125" style="53"/>
    <col min="12055" max="12055" width="5.28515625" style="53" bestFit="1" customWidth="1"/>
    <col min="12056" max="12056" width="11.42578125" style="53"/>
    <col min="12057" max="12057" width="5.28515625" style="53" bestFit="1" customWidth="1"/>
    <col min="12058" max="12058" width="11.42578125" style="53"/>
    <col min="12059" max="12059" width="5.28515625" style="53" bestFit="1" customWidth="1"/>
    <col min="12060" max="12060" width="11.42578125" style="53"/>
    <col min="12061" max="12061" width="4.140625" style="53" bestFit="1" customWidth="1"/>
    <col min="12062" max="12062" width="11.42578125" style="53"/>
    <col min="12063" max="12063" width="3.140625" style="53" bestFit="1" customWidth="1"/>
    <col min="12064" max="12064" width="14.140625" style="53" bestFit="1" customWidth="1"/>
    <col min="12065" max="12065" width="11.42578125" style="53"/>
    <col min="12066" max="12066" width="2.7109375" style="53" bestFit="1" customWidth="1"/>
    <col min="12067" max="12067" width="11.42578125" style="53"/>
    <col min="12068" max="12068" width="3.140625" style="53" bestFit="1" customWidth="1"/>
    <col min="12069" max="12069" width="16.42578125" style="53" bestFit="1" customWidth="1"/>
    <col min="12070" max="12070" width="22.42578125" style="53" customWidth="1"/>
    <col min="12071" max="12288" width="11.42578125" style="53"/>
    <col min="12289" max="12289" width="25.42578125" style="53" customWidth="1"/>
    <col min="12290" max="12290" width="16.28515625" style="53" customWidth="1"/>
    <col min="12291" max="12291" width="36" style="53" bestFit="1" customWidth="1"/>
    <col min="12292" max="12292" width="50.7109375" style="53" customWidth="1"/>
    <col min="12293" max="12293" width="13.5703125" style="53" customWidth="1"/>
    <col min="12294" max="12294" width="16.140625" style="53" customWidth="1"/>
    <col min="12295" max="12295" width="2.5703125" style="53" customWidth="1"/>
    <col min="12296" max="12296" width="11" style="53" customWidth="1"/>
    <col min="12297" max="12297" width="19.28515625" style="53" bestFit="1" customWidth="1"/>
    <col min="12298" max="12298" width="19" style="53" bestFit="1" customWidth="1"/>
    <col min="12299" max="12299" width="3.7109375" style="53" customWidth="1"/>
    <col min="12300" max="12300" width="4.42578125" style="53" bestFit="1" customWidth="1"/>
    <col min="12301" max="12301" width="3.42578125" style="53" bestFit="1" customWidth="1"/>
    <col min="12302" max="12302" width="4.42578125" style="53" bestFit="1" customWidth="1"/>
    <col min="12303" max="12303" width="3.42578125" style="53" bestFit="1" customWidth="1"/>
    <col min="12304" max="12304" width="4.42578125" style="53" bestFit="1" customWidth="1"/>
    <col min="12305" max="12305" width="3.42578125" style="53" bestFit="1" customWidth="1"/>
    <col min="12306" max="12306" width="4.42578125" style="53" bestFit="1" customWidth="1"/>
    <col min="12307" max="12307" width="17" style="53" bestFit="1" customWidth="1"/>
    <col min="12308" max="12308" width="11.42578125" style="53"/>
    <col min="12309" max="12309" width="5.28515625" style="53" bestFit="1" customWidth="1"/>
    <col min="12310" max="12310" width="11.42578125" style="53"/>
    <col min="12311" max="12311" width="5.28515625" style="53" bestFit="1" customWidth="1"/>
    <col min="12312" max="12312" width="11.42578125" style="53"/>
    <col min="12313" max="12313" width="5.28515625" style="53" bestFit="1" customWidth="1"/>
    <col min="12314" max="12314" width="11.42578125" style="53"/>
    <col min="12315" max="12315" width="5.28515625" style="53" bestFit="1" customWidth="1"/>
    <col min="12316" max="12316" width="11.42578125" style="53"/>
    <col min="12317" max="12317" width="4.140625" style="53" bestFit="1" customWidth="1"/>
    <col min="12318" max="12318" width="11.42578125" style="53"/>
    <col min="12319" max="12319" width="3.140625" style="53" bestFit="1" customWidth="1"/>
    <col min="12320" max="12320" width="14.140625" style="53" bestFit="1" customWidth="1"/>
    <col min="12321" max="12321" width="11.42578125" style="53"/>
    <col min="12322" max="12322" width="2.7109375" style="53" bestFit="1" customWidth="1"/>
    <col min="12323" max="12323" width="11.42578125" style="53"/>
    <col min="12324" max="12324" width="3.140625" style="53" bestFit="1" customWidth="1"/>
    <col min="12325" max="12325" width="16.42578125" style="53" bestFit="1" customWidth="1"/>
    <col min="12326" max="12326" width="22.42578125" style="53" customWidth="1"/>
    <col min="12327" max="12544" width="11.42578125" style="53"/>
    <col min="12545" max="12545" width="25.42578125" style="53" customWidth="1"/>
    <col min="12546" max="12546" width="16.28515625" style="53" customWidth="1"/>
    <col min="12547" max="12547" width="36" style="53" bestFit="1" customWidth="1"/>
    <col min="12548" max="12548" width="50.7109375" style="53" customWidth="1"/>
    <col min="12549" max="12549" width="13.5703125" style="53" customWidth="1"/>
    <col min="12550" max="12550" width="16.140625" style="53" customWidth="1"/>
    <col min="12551" max="12551" width="2.5703125" style="53" customWidth="1"/>
    <col min="12552" max="12552" width="11" style="53" customWidth="1"/>
    <col min="12553" max="12553" width="19.28515625" style="53" bestFit="1" customWidth="1"/>
    <col min="12554" max="12554" width="19" style="53" bestFit="1" customWidth="1"/>
    <col min="12555" max="12555" width="3.7109375" style="53" customWidth="1"/>
    <col min="12556" max="12556" width="4.42578125" style="53" bestFit="1" customWidth="1"/>
    <col min="12557" max="12557" width="3.42578125" style="53" bestFit="1" customWidth="1"/>
    <col min="12558" max="12558" width="4.42578125" style="53" bestFit="1" customWidth="1"/>
    <col min="12559" max="12559" width="3.42578125" style="53" bestFit="1" customWidth="1"/>
    <col min="12560" max="12560" width="4.42578125" style="53" bestFit="1" customWidth="1"/>
    <col min="12561" max="12561" width="3.42578125" style="53" bestFit="1" customWidth="1"/>
    <col min="12562" max="12562" width="4.42578125" style="53" bestFit="1" customWidth="1"/>
    <col min="12563" max="12563" width="17" style="53" bestFit="1" customWidth="1"/>
    <col min="12564" max="12564" width="11.42578125" style="53"/>
    <col min="12565" max="12565" width="5.28515625" style="53" bestFit="1" customWidth="1"/>
    <col min="12566" max="12566" width="11.42578125" style="53"/>
    <col min="12567" max="12567" width="5.28515625" style="53" bestFit="1" customWidth="1"/>
    <col min="12568" max="12568" width="11.42578125" style="53"/>
    <col min="12569" max="12569" width="5.28515625" style="53" bestFit="1" customWidth="1"/>
    <col min="12570" max="12570" width="11.42578125" style="53"/>
    <col min="12571" max="12571" width="5.28515625" style="53" bestFit="1" customWidth="1"/>
    <col min="12572" max="12572" width="11.42578125" style="53"/>
    <col min="12573" max="12573" width="4.140625" style="53" bestFit="1" customWidth="1"/>
    <col min="12574" max="12574" width="11.42578125" style="53"/>
    <col min="12575" max="12575" width="3.140625" style="53" bestFit="1" customWidth="1"/>
    <col min="12576" max="12576" width="14.140625" style="53" bestFit="1" customWidth="1"/>
    <col min="12577" max="12577" width="11.42578125" style="53"/>
    <col min="12578" max="12578" width="2.7109375" style="53" bestFit="1" customWidth="1"/>
    <col min="12579" max="12579" width="11.42578125" style="53"/>
    <col min="12580" max="12580" width="3.140625" style="53" bestFit="1" customWidth="1"/>
    <col min="12581" max="12581" width="16.42578125" style="53" bestFit="1" customWidth="1"/>
    <col min="12582" max="12582" width="22.42578125" style="53" customWidth="1"/>
    <col min="12583" max="12800" width="11.42578125" style="53"/>
    <col min="12801" max="12801" width="25.42578125" style="53" customWidth="1"/>
    <col min="12802" max="12802" width="16.28515625" style="53" customWidth="1"/>
    <col min="12803" max="12803" width="36" style="53" bestFit="1" customWidth="1"/>
    <col min="12804" max="12804" width="50.7109375" style="53" customWidth="1"/>
    <col min="12805" max="12805" width="13.5703125" style="53" customWidth="1"/>
    <col min="12806" max="12806" width="16.140625" style="53" customWidth="1"/>
    <col min="12807" max="12807" width="2.5703125" style="53" customWidth="1"/>
    <col min="12808" max="12808" width="11" style="53" customWidth="1"/>
    <col min="12809" max="12809" width="19.28515625" style="53" bestFit="1" customWidth="1"/>
    <col min="12810" max="12810" width="19" style="53" bestFit="1" customWidth="1"/>
    <col min="12811" max="12811" width="3.7109375" style="53" customWidth="1"/>
    <col min="12812" max="12812" width="4.42578125" style="53" bestFit="1" customWidth="1"/>
    <col min="12813" max="12813" width="3.42578125" style="53" bestFit="1" customWidth="1"/>
    <col min="12814" max="12814" width="4.42578125" style="53" bestFit="1" customWidth="1"/>
    <col min="12815" max="12815" width="3.42578125" style="53" bestFit="1" customWidth="1"/>
    <col min="12816" max="12816" width="4.42578125" style="53" bestFit="1" customWidth="1"/>
    <col min="12817" max="12817" width="3.42578125" style="53" bestFit="1" customWidth="1"/>
    <col min="12818" max="12818" width="4.42578125" style="53" bestFit="1" customWidth="1"/>
    <col min="12819" max="12819" width="17" style="53" bestFit="1" customWidth="1"/>
    <col min="12820" max="12820" width="11.42578125" style="53"/>
    <col min="12821" max="12821" width="5.28515625" style="53" bestFit="1" customWidth="1"/>
    <col min="12822" max="12822" width="11.42578125" style="53"/>
    <col min="12823" max="12823" width="5.28515625" style="53" bestFit="1" customWidth="1"/>
    <col min="12824" max="12824" width="11.42578125" style="53"/>
    <col min="12825" max="12825" width="5.28515625" style="53" bestFit="1" customWidth="1"/>
    <col min="12826" max="12826" width="11.42578125" style="53"/>
    <col min="12827" max="12827" width="5.28515625" style="53" bestFit="1" customWidth="1"/>
    <col min="12828" max="12828" width="11.42578125" style="53"/>
    <col min="12829" max="12829" width="4.140625" style="53" bestFit="1" customWidth="1"/>
    <col min="12830" max="12830" width="11.42578125" style="53"/>
    <col min="12831" max="12831" width="3.140625" style="53" bestFit="1" customWidth="1"/>
    <col min="12832" max="12832" width="14.140625" style="53" bestFit="1" customWidth="1"/>
    <col min="12833" max="12833" width="11.42578125" style="53"/>
    <col min="12834" max="12834" width="2.7109375" style="53" bestFit="1" customWidth="1"/>
    <col min="12835" max="12835" width="11.42578125" style="53"/>
    <col min="12836" max="12836" width="3.140625" style="53" bestFit="1" customWidth="1"/>
    <col min="12837" max="12837" width="16.42578125" style="53" bestFit="1" customWidth="1"/>
    <col min="12838" max="12838" width="22.42578125" style="53" customWidth="1"/>
    <col min="12839" max="13056" width="11.42578125" style="53"/>
    <col min="13057" max="13057" width="25.42578125" style="53" customWidth="1"/>
    <col min="13058" max="13058" width="16.28515625" style="53" customWidth="1"/>
    <col min="13059" max="13059" width="36" style="53" bestFit="1" customWidth="1"/>
    <col min="13060" max="13060" width="50.7109375" style="53" customWidth="1"/>
    <col min="13061" max="13061" width="13.5703125" style="53" customWidth="1"/>
    <col min="13062" max="13062" width="16.140625" style="53" customWidth="1"/>
    <col min="13063" max="13063" width="2.5703125" style="53" customWidth="1"/>
    <col min="13064" max="13064" width="11" style="53" customWidth="1"/>
    <col min="13065" max="13065" width="19.28515625" style="53" bestFit="1" customWidth="1"/>
    <col min="13066" max="13066" width="19" style="53" bestFit="1" customWidth="1"/>
    <col min="13067" max="13067" width="3.7109375" style="53" customWidth="1"/>
    <col min="13068" max="13068" width="4.42578125" style="53" bestFit="1" customWidth="1"/>
    <col min="13069" max="13069" width="3.42578125" style="53" bestFit="1" customWidth="1"/>
    <col min="13070" max="13070" width="4.42578125" style="53" bestFit="1" customWidth="1"/>
    <col min="13071" max="13071" width="3.42578125" style="53" bestFit="1" customWidth="1"/>
    <col min="13072" max="13072" width="4.42578125" style="53" bestFit="1" customWidth="1"/>
    <col min="13073" max="13073" width="3.42578125" style="53" bestFit="1" customWidth="1"/>
    <col min="13074" max="13074" width="4.42578125" style="53" bestFit="1" customWidth="1"/>
    <col min="13075" max="13075" width="17" style="53" bestFit="1" customWidth="1"/>
    <col min="13076" max="13076" width="11.42578125" style="53"/>
    <col min="13077" max="13077" width="5.28515625" style="53" bestFit="1" customWidth="1"/>
    <col min="13078" max="13078" width="11.42578125" style="53"/>
    <col min="13079" max="13079" width="5.28515625" style="53" bestFit="1" customWidth="1"/>
    <col min="13080" max="13080" width="11.42578125" style="53"/>
    <col min="13081" max="13081" width="5.28515625" style="53" bestFit="1" customWidth="1"/>
    <col min="13082" max="13082" width="11.42578125" style="53"/>
    <col min="13083" max="13083" width="5.28515625" style="53" bestFit="1" customWidth="1"/>
    <col min="13084" max="13084" width="11.42578125" style="53"/>
    <col min="13085" max="13085" width="4.140625" style="53" bestFit="1" customWidth="1"/>
    <col min="13086" max="13086" width="11.42578125" style="53"/>
    <col min="13087" max="13087" width="3.140625" style="53" bestFit="1" customWidth="1"/>
    <col min="13088" max="13088" width="14.140625" style="53" bestFit="1" customWidth="1"/>
    <col min="13089" max="13089" width="11.42578125" style="53"/>
    <col min="13090" max="13090" width="2.7109375" style="53" bestFit="1" customWidth="1"/>
    <col min="13091" max="13091" width="11.42578125" style="53"/>
    <col min="13092" max="13092" width="3.140625" style="53" bestFit="1" customWidth="1"/>
    <col min="13093" max="13093" width="16.42578125" style="53" bestFit="1" customWidth="1"/>
    <col min="13094" max="13094" width="22.42578125" style="53" customWidth="1"/>
    <col min="13095" max="13312" width="11.42578125" style="53"/>
    <col min="13313" max="13313" width="25.42578125" style="53" customWidth="1"/>
    <col min="13314" max="13314" width="16.28515625" style="53" customWidth="1"/>
    <col min="13315" max="13315" width="36" style="53" bestFit="1" customWidth="1"/>
    <col min="13316" max="13316" width="50.7109375" style="53" customWidth="1"/>
    <col min="13317" max="13317" width="13.5703125" style="53" customWidth="1"/>
    <col min="13318" max="13318" width="16.140625" style="53" customWidth="1"/>
    <col min="13319" max="13319" width="2.5703125" style="53" customWidth="1"/>
    <col min="13320" max="13320" width="11" style="53" customWidth="1"/>
    <col min="13321" max="13321" width="19.28515625" style="53" bestFit="1" customWidth="1"/>
    <col min="13322" max="13322" width="19" style="53" bestFit="1" customWidth="1"/>
    <col min="13323" max="13323" width="3.7109375" style="53" customWidth="1"/>
    <col min="13324" max="13324" width="4.42578125" style="53" bestFit="1" customWidth="1"/>
    <col min="13325" max="13325" width="3.42578125" style="53" bestFit="1" customWidth="1"/>
    <col min="13326" max="13326" width="4.42578125" style="53" bestFit="1" customWidth="1"/>
    <col min="13327" max="13327" width="3.42578125" style="53" bestFit="1" customWidth="1"/>
    <col min="13328" max="13328" width="4.42578125" style="53" bestFit="1" customWidth="1"/>
    <col min="13329" max="13329" width="3.42578125" style="53" bestFit="1" customWidth="1"/>
    <col min="13330" max="13330" width="4.42578125" style="53" bestFit="1" customWidth="1"/>
    <col min="13331" max="13331" width="17" style="53" bestFit="1" customWidth="1"/>
    <col min="13332" max="13332" width="11.42578125" style="53"/>
    <col min="13333" max="13333" width="5.28515625" style="53" bestFit="1" customWidth="1"/>
    <col min="13334" max="13334" width="11.42578125" style="53"/>
    <col min="13335" max="13335" width="5.28515625" style="53" bestFit="1" customWidth="1"/>
    <col min="13336" max="13336" width="11.42578125" style="53"/>
    <col min="13337" max="13337" width="5.28515625" style="53" bestFit="1" customWidth="1"/>
    <col min="13338" max="13338" width="11.42578125" style="53"/>
    <col min="13339" max="13339" width="5.28515625" style="53" bestFit="1" customWidth="1"/>
    <col min="13340" max="13340" width="11.42578125" style="53"/>
    <col min="13341" max="13341" width="4.140625" style="53" bestFit="1" customWidth="1"/>
    <col min="13342" max="13342" width="11.42578125" style="53"/>
    <col min="13343" max="13343" width="3.140625" style="53" bestFit="1" customWidth="1"/>
    <col min="13344" max="13344" width="14.140625" style="53" bestFit="1" customWidth="1"/>
    <col min="13345" max="13345" width="11.42578125" style="53"/>
    <col min="13346" max="13346" width="2.7109375" style="53" bestFit="1" customWidth="1"/>
    <col min="13347" max="13347" width="11.42578125" style="53"/>
    <col min="13348" max="13348" width="3.140625" style="53" bestFit="1" customWidth="1"/>
    <col min="13349" max="13349" width="16.42578125" style="53" bestFit="1" customWidth="1"/>
    <col min="13350" max="13350" width="22.42578125" style="53" customWidth="1"/>
    <col min="13351" max="13568" width="11.42578125" style="53"/>
    <col min="13569" max="13569" width="25.42578125" style="53" customWidth="1"/>
    <col min="13570" max="13570" width="16.28515625" style="53" customWidth="1"/>
    <col min="13571" max="13571" width="36" style="53" bestFit="1" customWidth="1"/>
    <col min="13572" max="13572" width="50.7109375" style="53" customWidth="1"/>
    <col min="13573" max="13573" width="13.5703125" style="53" customWidth="1"/>
    <col min="13574" max="13574" width="16.140625" style="53" customWidth="1"/>
    <col min="13575" max="13575" width="2.5703125" style="53" customWidth="1"/>
    <col min="13576" max="13576" width="11" style="53" customWidth="1"/>
    <col min="13577" max="13577" width="19.28515625" style="53" bestFit="1" customWidth="1"/>
    <col min="13578" max="13578" width="19" style="53" bestFit="1" customWidth="1"/>
    <col min="13579" max="13579" width="3.7109375" style="53" customWidth="1"/>
    <col min="13580" max="13580" width="4.42578125" style="53" bestFit="1" customWidth="1"/>
    <col min="13581" max="13581" width="3.42578125" style="53" bestFit="1" customWidth="1"/>
    <col min="13582" max="13582" width="4.42578125" style="53" bestFit="1" customWidth="1"/>
    <col min="13583" max="13583" width="3.42578125" style="53" bestFit="1" customWidth="1"/>
    <col min="13584" max="13584" width="4.42578125" style="53" bestFit="1" customWidth="1"/>
    <col min="13585" max="13585" width="3.42578125" style="53" bestFit="1" customWidth="1"/>
    <col min="13586" max="13586" width="4.42578125" style="53" bestFit="1" customWidth="1"/>
    <col min="13587" max="13587" width="17" style="53" bestFit="1" customWidth="1"/>
    <col min="13588" max="13588" width="11.42578125" style="53"/>
    <col min="13589" max="13589" width="5.28515625" style="53" bestFit="1" customWidth="1"/>
    <col min="13590" max="13590" width="11.42578125" style="53"/>
    <col min="13591" max="13591" width="5.28515625" style="53" bestFit="1" customWidth="1"/>
    <col min="13592" max="13592" width="11.42578125" style="53"/>
    <col min="13593" max="13593" width="5.28515625" style="53" bestFit="1" customWidth="1"/>
    <col min="13594" max="13594" width="11.42578125" style="53"/>
    <col min="13595" max="13595" width="5.28515625" style="53" bestFit="1" customWidth="1"/>
    <col min="13596" max="13596" width="11.42578125" style="53"/>
    <col min="13597" max="13597" width="4.140625" style="53" bestFit="1" customWidth="1"/>
    <col min="13598" max="13598" width="11.42578125" style="53"/>
    <col min="13599" max="13599" width="3.140625" style="53" bestFit="1" customWidth="1"/>
    <col min="13600" max="13600" width="14.140625" style="53" bestFit="1" customWidth="1"/>
    <col min="13601" max="13601" width="11.42578125" style="53"/>
    <col min="13602" max="13602" width="2.7109375" style="53" bestFit="1" customWidth="1"/>
    <col min="13603" max="13603" width="11.42578125" style="53"/>
    <col min="13604" max="13604" width="3.140625" style="53" bestFit="1" customWidth="1"/>
    <col min="13605" max="13605" width="16.42578125" style="53" bestFit="1" customWidth="1"/>
    <col min="13606" max="13606" width="22.42578125" style="53" customWidth="1"/>
    <col min="13607" max="13824" width="11.42578125" style="53"/>
    <col min="13825" max="13825" width="25.42578125" style="53" customWidth="1"/>
    <col min="13826" max="13826" width="16.28515625" style="53" customWidth="1"/>
    <col min="13827" max="13827" width="36" style="53" bestFit="1" customWidth="1"/>
    <col min="13828" max="13828" width="50.7109375" style="53" customWidth="1"/>
    <col min="13829" max="13829" width="13.5703125" style="53" customWidth="1"/>
    <col min="13830" max="13830" width="16.140625" style="53" customWidth="1"/>
    <col min="13831" max="13831" width="2.5703125" style="53" customWidth="1"/>
    <col min="13832" max="13832" width="11" style="53" customWidth="1"/>
    <col min="13833" max="13833" width="19.28515625" style="53" bestFit="1" customWidth="1"/>
    <col min="13834" max="13834" width="19" style="53" bestFit="1" customWidth="1"/>
    <col min="13835" max="13835" width="3.7109375" style="53" customWidth="1"/>
    <col min="13836" max="13836" width="4.42578125" style="53" bestFit="1" customWidth="1"/>
    <col min="13837" max="13837" width="3.42578125" style="53" bestFit="1" customWidth="1"/>
    <col min="13838" max="13838" width="4.42578125" style="53" bestFit="1" customWidth="1"/>
    <col min="13839" max="13839" width="3.42578125" style="53" bestFit="1" customWidth="1"/>
    <col min="13840" max="13840" width="4.42578125" style="53" bestFit="1" customWidth="1"/>
    <col min="13841" max="13841" width="3.42578125" style="53" bestFit="1" customWidth="1"/>
    <col min="13842" max="13842" width="4.42578125" style="53" bestFit="1" customWidth="1"/>
    <col min="13843" max="13843" width="17" style="53" bestFit="1" customWidth="1"/>
    <col min="13844" max="13844" width="11.42578125" style="53"/>
    <col min="13845" max="13845" width="5.28515625" style="53" bestFit="1" customWidth="1"/>
    <col min="13846" max="13846" width="11.42578125" style="53"/>
    <col min="13847" max="13847" width="5.28515625" style="53" bestFit="1" customWidth="1"/>
    <col min="13848" max="13848" width="11.42578125" style="53"/>
    <col min="13849" max="13849" width="5.28515625" style="53" bestFit="1" customWidth="1"/>
    <col min="13850" max="13850" width="11.42578125" style="53"/>
    <col min="13851" max="13851" width="5.28515625" style="53" bestFit="1" customWidth="1"/>
    <col min="13852" max="13852" width="11.42578125" style="53"/>
    <col min="13853" max="13853" width="4.140625" style="53" bestFit="1" customWidth="1"/>
    <col min="13854" max="13854" width="11.42578125" style="53"/>
    <col min="13855" max="13855" width="3.140625" style="53" bestFit="1" customWidth="1"/>
    <col min="13856" max="13856" width="14.140625" style="53" bestFit="1" customWidth="1"/>
    <col min="13857" max="13857" width="11.42578125" style="53"/>
    <col min="13858" max="13858" width="2.7109375" style="53" bestFit="1" customWidth="1"/>
    <col min="13859" max="13859" width="11.42578125" style="53"/>
    <col min="13860" max="13860" width="3.140625" style="53" bestFit="1" customWidth="1"/>
    <col min="13861" max="13861" width="16.42578125" style="53" bestFit="1" customWidth="1"/>
    <col min="13862" max="13862" width="22.42578125" style="53" customWidth="1"/>
    <col min="13863" max="14080" width="11.42578125" style="53"/>
    <col min="14081" max="14081" width="25.42578125" style="53" customWidth="1"/>
    <col min="14082" max="14082" width="16.28515625" style="53" customWidth="1"/>
    <col min="14083" max="14083" width="36" style="53" bestFit="1" customWidth="1"/>
    <col min="14084" max="14084" width="50.7109375" style="53" customWidth="1"/>
    <col min="14085" max="14085" width="13.5703125" style="53" customWidth="1"/>
    <col min="14086" max="14086" width="16.140625" style="53" customWidth="1"/>
    <col min="14087" max="14087" width="2.5703125" style="53" customWidth="1"/>
    <col min="14088" max="14088" width="11" style="53" customWidth="1"/>
    <col min="14089" max="14089" width="19.28515625" style="53" bestFit="1" customWidth="1"/>
    <col min="14090" max="14090" width="19" style="53" bestFit="1" customWidth="1"/>
    <col min="14091" max="14091" width="3.7109375" style="53" customWidth="1"/>
    <col min="14092" max="14092" width="4.42578125" style="53" bestFit="1" customWidth="1"/>
    <col min="14093" max="14093" width="3.42578125" style="53" bestFit="1" customWidth="1"/>
    <col min="14094" max="14094" width="4.42578125" style="53" bestFit="1" customWidth="1"/>
    <col min="14095" max="14095" width="3.42578125" style="53" bestFit="1" customWidth="1"/>
    <col min="14096" max="14096" width="4.42578125" style="53" bestFit="1" customWidth="1"/>
    <col min="14097" max="14097" width="3.42578125" style="53" bestFit="1" customWidth="1"/>
    <col min="14098" max="14098" width="4.42578125" style="53" bestFit="1" customWidth="1"/>
    <col min="14099" max="14099" width="17" style="53" bestFit="1" customWidth="1"/>
    <col min="14100" max="14100" width="11.42578125" style="53"/>
    <col min="14101" max="14101" width="5.28515625" style="53" bestFit="1" customWidth="1"/>
    <col min="14102" max="14102" width="11.42578125" style="53"/>
    <col min="14103" max="14103" width="5.28515625" style="53" bestFit="1" customWidth="1"/>
    <col min="14104" max="14104" width="11.42578125" style="53"/>
    <col min="14105" max="14105" width="5.28515625" style="53" bestFit="1" customWidth="1"/>
    <col min="14106" max="14106" width="11.42578125" style="53"/>
    <col min="14107" max="14107" width="5.28515625" style="53" bestFit="1" customWidth="1"/>
    <col min="14108" max="14108" width="11.42578125" style="53"/>
    <col min="14109" max="14109" width="4.140625" style="53" bestFit="1" customWidth="1"/>
    <col min="14110" max="14110" width="11.42578125" style="53"/>
    <col min="14111" max="14111" width="3.140625" style="53" bestFit="1" customWidth="1"/>
    <col min="14112" max="14112" width="14.140625" style="53" bestFit="1" customWidth="1"/>
    <col min="14113" max="14113" width="11.42578125" style="53"/>
    <col min="14114" max="14114" width="2.7109375" style="53" bestFit="1" customWidth="1"/>
    <col min="14115" max="14115" width="11.42578125" style="53"/>
    <col min="14116" max="14116" width="3.140625" style="53" bestFit="1" customWidth="1"/>
    <col min="14117" max="14117" width="16.42578125" style="53" bestFit="1" customWidth="1"/>
    <col min="14118" max="14118" width="22.42578125" style="53" customWidth="1"/>
    <col min="14119" max="14336" width="11.42578125" style="53"/>
    <col min="14337" max="14337" width="25.42578125" style="53" customWidth="1"/>
    <col min="14338" max="14338" width="16.28515625" style="53" customWidth="1"/>
    <col min="14339" max="14339" width="36" style="53" bestFit="1" customWidth="1"/>
    <col min="14340" max="14340" width="50.7109375" style="53" customWidth="1"/>
    <col min="14341" max="14341" width="13.5703125" style="53" customWidth="1"/>
    <col min="14342" max="14342" width="16.140625" style="53" customWidth="1"/>
    <col min="14343" max="14343" width="2.5703125" style="53" customWidth="1"/>
    <col min="14344" max="14344" width="11" style="53" customWidth="1"/>
    <col min="14345" max="14345" width="19.28515625" style="53" bestFit="1" customWidth="1"/>
    <col min="14346" max="14346" width="19" style="53" bestFit="1" customWidth="1"/>
    <col min="14347" max="14347" width="3.7109375" style="53" customWidth="1"/>
    <col min="14348" max="14348" width="4.42578125" style="53" bestFit="1" customWidth="1"/>
    <col min="14349" max="14349" width="3.42578125" style="53" bestFit="1" customWidth="1"/>
    <col min="14350" max="14350" width="4.42578125" style="53" bestFit="1" customWidth="1"/>
    <col min="14351" max="14351" width="3.42578125" style="53" bestFit="1" customWidth="1"/>
    <col min="14352" max="14352" width="4.42578125" style="53" bestFit="1" customWidth="1"/>
    <col min="14353" max="14353" width="3.42578125" style="53" bestFit="1" customWidth="1"/>
    <col min="14354" max="14354" width="4.42578125" style="53" bestFit="1" customWidth="1"/>
    <col min="14355" max="14355" width="17" style="53" bestFit="1" customWidth="1"/>
    <col min="14356" max="14356" width="11.42578125" style="53"/>
    <col min="14357" max="14357" width="5.28515625" style="53" bestFit="1" customWidth="1"/>
    <col min="14358" max="14358" width="11.42578125" style="53"/>
    <col min="14359" max="14359" width="5.28515625" style="53" bestFit="1" customWidth="1"/>
    <col min="14360" max="14360" width="11.42578125" style="53"/>
    <col min="14361" max="14361" width="5.28515625" style="53" bestFit="1" customWidth="1"/>
    <col min="14362" max="14362" width="11.42578125" style="53"/>
    <col min="14363" max="14363" width="5.28515625" style="53" bestFit="1" customWidth="1"/>
    <col min="14364" max="14364" width="11.42578125" style="53"/>
    <col min="14365" max="14365" width="4.140625" style="53" bestFit="1" customWidth="1"/>
    <col min="14366" max="14366" width="11.42578125" style="53"/>
    <col min="14367" max="14367" width="3.140625" style="53" bestFit="1" customWidth="1"/>
    <col min="14368" max="14368" width="14.140625" style="53" bestFit="1" customWidth="1"/>
    <col min="14369" max="14369" width="11.42578125" style="53"/>
    <col min="14370" max="14370" width="2.7109375" style="53" bestFit="1" customWidth="1"/>
    <col min="14371" max="14371" width="11.42578125" style="53"/>
    <col min="14372" max="14372" width="3.140625" style="53" bestFit="1" customWidth="1"/>
    <col min="14373" max="14373" width="16.42578125" style="53" bestFit="1" customWidth="1"/>
    <col min="14374" max="14374" width="22.42578125" style="53" customWidth="1"/>
    <col min="14375" max="14592" width="11.42578125" style="53"/>
    <col min="14593" max="14593" width="25.42578125" style="53" customWidth="1"/>
    <col min="14594" max="14594" width="16.28515625" style="53" customWidth="1"/>
    <col min="14595" max="14595" width="36" style="53" bestFit="1" customWidth="1"/>
    <col min="14596" max="14596" width="50.7109375" style="53" customWidth="1"/>
    <col min="14597" max="14597" width="13.5703125" style="53" customWidth="1"/>
    <col min="14598" max="14598" width="16.140625" style="53" customWidth="1"/>
    <col min="14599" max="14599" width="2.5703125" style="53" customWidth="1"/>
    <col min="14600" max="14600" width="11" style="53" customWidth="1"/>
    <col min="14601" max="14601" width="19.28515625" style="53" bestFit="1" customWidth="1"/>
    <col min="14602" max="14602" width="19" style="53" bestFit="1" customWidth="1"/>
    <col min="14603" max="14603" width="3.7109375" style="53" customWidth="1"/>
    <col min="14604" max="14604" width="4.42578125" style="53" bestFit="1" customWidth="1"/>
    <col min="14605" max="14605" width="3.42578125" style="53" bestFit="1" customWidth="1"/>
    <col min="14606" max="14606" width="4.42578125" style="53" bestFit="1" customWidth="1"/>
    <col min="14607" max="14607" width="3.42578125" style="53" bestFit="1" customWidth="1"/>
    <col min="14608" max="14608" width="4.42578125" style="53" bestFit="1" customWidth="1"/>
    <col min="14609" max="14609" width="3.42578125" style="53" bestFit="1" customWidth="1"/>
    <col min="14610" max="14610" width="4.42578125" style="53" bestFit="1" customWidth="1"/>
    <col min="14611" max="14611" width="17" style="53" bestFit="1" customWidth="1"/>
    <col min="14612" max="14612" width="11.42578125" style="53"/>
    <col min="14613" max="14613" width="5.28515625" style="53" bestFit="1" customWidth="1"/>
    <col min="14614" max="14614" width="11.42578125" style="53"/>
    <col min="14615" max="14615" width="5.28515625" style="53" bestFit="1" customWidth="1"/>
    <col min="14616" max="14616" width="11.42578125" style="53"/>
    <col min="14617" max="14617" width="5.28515625" style="53" bestFit="1" customWidth="1"/>
    <col min="14618" max="14618" width="11.42578125" style="53"/>
    <col min="14619" max="14619" width="5.28515625" style="53" bestFit="1" customWidth="1"/>
    <col min="14620" max="14620" width="11.42578125" style="53"/>
    <col min="14621" max="14621" width="4.140625" style="53" bestFit="1" customWidth="1"/>
    <col min="14622" max="14622" width="11.42578125" style="53"/>
    <col min="14623" max="14623" width="3.140625" style="53" bestFit="1" customWidth="1"/>
    <col min="14624" max="14624" width="14.140625" style="53" bestFit="1" customWidth="1"/>
    <col min="14625" max="14625" width="11.42578125" style="53"/>
    <col min="14626" max="14626" width="2.7109375" style="53" bestFit="1" customWidth="1"/>
    <col min="14627" max="14627" width="11.42578125" style="53"/>
    <col min="14628" max="14628" width="3.140625" style="53" bestFit="1" customWidth="1"/>
    <col min="14629" max="14629" width="16.42578125" style="53" bestFit="1" customWidth="1"/>
    <col min="14630" max="14630" width="22.42578125" style="53" customWidth="1"/>
    <col min="14631" max="14848" width="11.42578125" style="53"/>
    <col min="14849" max="14849" width="25.42578125" style="53" customWidth="1"/>
    <col min="14850" max="14850" width="16.28515625" style="53" customWidth="1"/>
    <col min="14851" max="14851" width="36" style="53" bestFit="1" customWidth="1"/>
    <col min="14852" max="14852" width="50.7109375" style="53" customWidth="1"/>
    <col min="14853" max="14853" width="13.5703125" style="53" customWidth="1"/>
    <col min="14854" max="14854" width="16.140625" style="53" customWidth="1"/>
    <col min="14855" max="14855" width="2.5703125" style="53" customWidth="1"/>
    <col min="14856" max="14856" width="11" style="53" customWidth="1"/>
    <col min="14857" max="14857" width="19.28515625" style="53" bestFit="1" customWidth="1"/>
    <col min="14858" max="14858" width="19" style="53" bestFit="1" customWidth="1"/>
    <col min="14859" max="14859" width="3.7109375" style="53" customWidth="1"/>
    <col min="14860" max="14860" width="4.42578125" style="53" bestFit="1" customWidth="1"/>
    <col min="14861" max="14861" width="3.42578125" style="53" bestFit="1" customWidth="1"/>
    <col min="14862" max="14862" width="4.42578125" style="53" bestFit="1" customWidth="1"/>
    <col min="14863" max="14863" width="3.42578125" style="53" bestFit="1" customWidth="1"/>
    <col min="14864" max="14864" width="4.42578125" style="53" bestFit="1" customWidth="1"/>
    <col min="14865" max="14865" width="3.42578125" style="53" bestFit="1" customWidth="1"/>
    <col min="14866" max="14866" width="4.42578125" style="53" bestFit="1" customWidth="1"/>
    <col min="14867" max="14867" width="17" style="53" bestFit="1" customWidth="1"/>
    <col min="14868" max="14868" width="11.42578125" style="53"/>
    <col min="14869" max="14869" width="5.28515625" style="53" bestFit="1" customWidth="1"/>
    <col min="14870" max="14870" width="11.42578125" style="53"/>
    <col min="14871" max="14871" width="5.28515625" style="53" bestFit="1" customWidth="1"/>
    <col min="14872" max="14872" width="11.42578125" style="53"/>
    <col min="14873" max="14873" width="5.28515625" style="53" bestFit="1" customWidth="1"/>
    <col min="14874" max="14874" width="11.42578125" style="53"/>
    <col min="14875" max="14875" width="5.28515625" style="53" bestFit="1" customWidth="1"/>
    <col min="14876" max="14876" width="11.42578125" style="53"/>
    <col min="14877" max="14877" width="4.140625" style="53" bestFit="1" customWidth="1"/>
    <col min="14878" max="14878" width="11.42578125" style="53"/>
    <col min="14879" max="14879" width="3.140625" style="53" bestFit="1" customWidth="1"/>
    <col min="14880" max="14880" width="14.140625" style="53" bestFit="1" customWidth="1"/>
    <col min="14881" max="14881" width="11.42578125" style="53"/>
    <col min="14882" max="14882" width="2.7109375" style="53" bestFit="1" customWidth="1"/>
    <col min="14883" max="14883" width="11.42578125" style="53"/>
    <col min="14884" max="14884" width="3.140625" style="53" bestFit="1" customWidth="1"/>
    <col min="14885" max="14885" width="16.42578125" style="53" bestFit="1" customWidth="1"/>
    <col min="14886" max="14886" width="22.42578125" style="53" customWidth="1"/>
    <col min="14887" max="15104" width="11.42578125" style="53"/>
    <col min="15105" max="15105" width="25.42578125" style="53" customWidth="1"/>
    <col min="15106" max="15106" width="16.28515625" style="53" customWidth="1"/>
    <col min="15107" max="15107" width="36" style="53" bestFit="1" customWidth="1"/>
    <col min="15108" max="15108" width="50.7109375" style="53" customWidth="1"/>
    <col min="15109" max="15109" width="13.5703125" style="53" customWidth="1"/>
    <col min="15110" max="15110" width="16.140625" style="53" customWidth="1"/>
    <col min="15111" max="15111" width="2.5703125" style="53" customWidth="1"/>
    <col min="15112" max="15112" width="11" style="53" customWidth="1"/>
    <col min="15113" max="15113" width="19.28515625" style="53" bestFit="1" customWidth="1"/>
    <col min="15114" max="15114" width="19" style="53" bestFit="1" customWidth="1"/>
    <col min="15115" max="15115" width="3.7109375" style="53" customWidth="1"/>
    <col min="15116" max="15116" width="4.42578125" style="53" bestFit="1" customWidth="1"/>
    <col min="15117" max="15117" width="3.42578125" style="53" bestFit="1" customWidth="1"/>
    <col min="15118" max="15118" width="4.42578125" style="53" bestFit="1" customWidth="1"/>
    <col min="15119" max="15119" width="3.42578125" style="53" bestFit="1" customWidth="1"/>
    <col min="15120" max="15120" width="4.42578125" style="53" bestFit="1" customWidth="1"/>
    <col min="15121" max="15121" width="3.42578125" style="53" bestFit="1" customWidth="1"/>
    <col min="15122" max="15122" width="4.42578125" style="53" bestFit="1" customWidth="1"/>
    <col min="15123" max="15123" width="17" style="53" bestFit="1" customWidth="1"/>
    <col min="15124" max="15124" width="11.42578125" style="53"/>
    <col min="15125" max="15125" width="5.28515625" style="53" bestFit="1" customWidth="1"/>
    <col min="15126" max="15126" width="11.42578125" style="53"/>
    <col min="15127" max="15127" width="5.28515625" style="53" bestFit="1" customWidth="1"/>
    <col min="15128" max="15128" width="11.42578125" style="53"/>
    <col min="15129" max="15129" width="5.28515625" style="53" bestFit="1" customWidth="1"/>
    <col min="15130" max="15130" width="11.42578125" style="53"/>
    <col min="15131" max="15131" width="5.28515625" style="53" bestFit="1" customWidth="1"/>
    <col min="15132" max="15132" width="11.42578125" style="53"/>
    <col min="15133" max="15133" width="4.140625" style="53" bestFit="1" customWidth="1"/>
    <col min="15134" max="15134" width="11.42578125" style="53"/>
    <col min="15135" max="15135" width="3.140625" style="53" bestFit="1" customWidth="1"/>
    <col min="15136" max="15136" width="14.140625" style="53" bestFit="1" customWidth="1"/>
    <col min="15137" max="15137" width="11.42578125" style="53"/>
    <col min="15138" max="15138" width="2.7109375" style="53" bestFit="1" customWidth="1"/>
    <col min="15139" max="15139" width="11.42578125" style="53"/>
    <col min="15140" max="15140" width="3.140625" style="53" bestFit="1" customWidth="1"/>
    <col min="15141" max="15141" width="16.42578125" style="53" bestFit="1" customWidth="1"/>
    <col min="15142" max="15142" width="22.42578125" style="53" customWidth="1"/>
    <col min="15143" max="15360" width="11.42578125" style="53"/>
    <col min="15361" max="15361" width="25.42578125" style="53" customWidth="1"/>
    <col min="15362" max="15362" width="16.28515625" style="53" customWidth="1"/>
    <col min="15363" max="15363" width="36" style="53" bestFit="1" customWidth="1"/>
    <col min="15364" max="15364" width="50.7109375" style="53" customWidth="1"/>
    <col min="15365" max="15365" width="13.5703125" style="53" customWidth="1"/>
    <col min="15366" max="15366" width="16.140625" style="53" customWidth="1"/>
    <col min="15367" max="15367" width="2.5703125" style="53" customWidth="1"/>
    <col min="15368" max="15368" width="11" style="53" customWidth="1"/>
    <col min="15369" max="15369" width="19.28515625" style="53" bestFit="1" customWidth="1"/>
    <col min="15370" max="15370" width="19" style="53" bestFit="1" customWidth="1"/>
    <col min="15371" max="15371" width="3.7109375" style="53" customWidth="1"/>
    <col min="15372" max="15372" width="4.42578125" style="53" bestFit="1" customWidth="1"/>
    <col min="15373" max="15373" width="3.42578125" style="53" bestFit="1" customWidth="1"/>
    <col min="15374" max="15374" width="4.42578125" style="53" bestFit="1" customWidth="1"/>
    <col min="15375" max="15375" width="3.42578125" style="53" bestFit="1" customWidth="1"/>
    <col min="15376" max="15376" width="4.42578125" style="53" bestFit="1" customWidth="1"/>
    <col min="15377" max="15377" width="3.42578125" style="53" bestFit="1" customWidth="1"/>
    <col min="15378" max="15378" width="4.42578125" style="53" bestFit="1" customWidth="1"/>
    <col min="15379" max="15379" width="17" style="53" bestFit="1" customWidth="1"/>
    <col min="15380" max="15380" width="11.42578125" style="53"/>
    <col min="15381" max="15381" width="5.28515625" style="53" bestFit="1" customWidth="1"/>
    <col min="15382" max="15382" width="11.42578125" style="53"/>
    <col min="15383" max="15383" width="5.28515625" style="53" bestFit="1" customWidth="1"/>
    <col min="15384" max="15384" width="11.42578125" style="53"/>
    <col min="15385" max="15385" width="5.28515625" style="53" bestFit="1" customWidth="1"/>
    <col min="15386" max="15386" width="11.42578125" style="53"/>
    <col min="15387" max="15387" width="5.28515625" style="53" bestFit="1" customWidth="1"/>
    <col min="15388" max="15388" width="11.42578125" style="53"/>
    <col min="15389" max="15389" width="4.140625" style="53" bestFit="1" customWidth="1"/>
    <col min="15390" max="15390" width="11.42578125" style="53"/>
    <col min="15391" max="15391" width="3.140625" style="53" bestFit="1" customWidth="1"/>
    <col min="15392" max="15392" width="14.140625" style="53" bestFit="1" customWidth="1"/>
    <col min="15393" max="15393" width="11.42578125" style="53"/>
    <col min="15394" max="15394" width="2.7109375" style="53" bestFit="1" customWidth="1"/>
    <col min="15395" max="15395" width="11.42578125" style="53"/>
    <col min="15396" max="15396" width="3.140625" style="53" bestFit="1" customWidth="1"/>
    <col min="15397" max="15397" width="16.42578125" style="53" bestFit="1" customWidth="1"/>
    <col min="15398" max="15398" width="22.42578125" style="53" customWidth="1"/>
    <col min="15399" max="15616" width="11.42578125" style="53"/>
    <col min="15617" max="15617" width="25.42578125" style="53" customWidth="1"/>
    <col min="15618" max="15618" width="16.28515625" style="53" customWidth="1"/>
    <col min="15619" max="15619" width="36" style="53" bestFit="1" customWidth="1"/>
    <col min="15620" max="15620" width="50.7109375" style="53" customWidth="1"/>
    <col min="15621" max="15621" width="13.5703125" style="53" customWidth="1"/>
    <col min="15622" max="15622" width="16.140625" style="53" customWidth="1"/>
    <col min="15623" max="15623" width="2.5703125" style="53" customWidth="1"/>
    <col min="15624" max="15624" width="11" style="53" customWidth="1"/>
    <col min="15625" max="15625" width="19.28515625" style="53" bestFit="1" customWidth="1"/>
    <col min="15626" max="15626" width="19" style="53" bestFit="1" customWidth="1"/>
    <col min="15627" max="15627" width="3.7109375" style="53" customWidth="1"/>
    <col min="15628" max="15628" width="4.42578125" style="53" bestFit="1" customWidth="1"/>
    <col min="15629" max="15629" width="3.42578125" style="53" bestFit="1" customWidth="1"/>
    <col min="15630" max="15630" width="4.42578125" style="53" bestFit="1" customWidth="1"/>
    <col min="15631" max="15631" width="3.42578125" style="53" bestFit="1" customWidth="1"/>
    <col min="15632" max="15632" width="4.42578125" style="53" bestFit="1" customWidth="1"/>
    <col min="15633" max="15633" width="3.42578125" style="53" bestFit="1" customWidth="1"/>
    <col min="15634" max="15634" width="4.42578125" style="53" bestFit="1" customWidth="1"/>
    <col min="15635" max="15635" width="17" style="53" bestFit="1" customWidth="1"/>
    <col min="15636" max="15636" width="11.42578125" style="53"/>
    <col min="15637" max="15637" width="5.28515625" style="53" bestFit="1" customWidth="1"/>
    <col min="15638" max="15638" width="11.42578125" style="53"/>
    <col min="15639" max="15639" width="5.28515625" style="53" bestFit="1" customWidth="1"/>
    <col min="15640" max="15640" width="11.42578125" style="53"/>
    <col min="15641" max="15641" width="5.28515625" style="53" bestFit="1" customWidth="1"/>
    <col min="15642" max="15642" width="11.42578125" style="53"/>
    <col min="15643" max="15643" width="5.28515625" style="53" bestFit="1" customWidth="1"/>
    <col min="15644" max="15644" width="11.42578125" style="53"/>
    <col min="15645" max="15645" width="4.140625" style="53" bestFit="1" customWidth="1"/>
    <col min="15646" max="15646" width="11.42578125" style="53"/>
    <col min="15647" max="15647" width="3.140625" style="53" bestFit="1" customWidth="1"/>
    <col min="15648" max="15648" width="14.140625" style="53" bestFit="1" customWidth="1"/>
    <col min="15649" max="15649" width="11.42578125" style="53"/>
    <col min="15650" max="15650" width="2.7109375" style="53" bestFit="1" customWidth="1"/>
    <col min="15651" max="15651" width="11.42578125" style="53"/>
    <col min="15652" max="15652" width="3.140625" style="53" bestFit="1" customWidth="1"/>
    <col min="15653" max="15653" width="16.42578125" style="53" bestFit="1" customWidth="1"/>
    <col min="15654" max="15654" width="22.42578125" style="53" customWidth="1"/>
    <col min="15655" max="15872" width="11.42578125" style="53"/>
    <col min="15873" max="15873" width="25.42578125" style="53" customWidth="1"/>
    <col min="15874" max="15874" width="16.28515625" style="53" customWidth="1"/>
    <col min="15875" max="15875" width="36" style="53" bestFit="1" customWidth="1"/>
    <col min="15876" max="15876" width="50.7109375" style="53" customWidth="1"/>
    <col min="15877" max="15877" width="13.5703125" style="53" customWidth="1"/>
    <col min="15878" max="15878" width="16.140625" style="53" customWidth="1"/>
    <col min="15879" max="15879" width="2.5703125" style="53" customWidth="1"/>
    <col min="15880" max="15880" width="11" style="53" customWidth="1"/>
    <col min="15881" max="15881" width="19.28515625" style="53" bestFit="1" customWidth="1"/>
    <col min="15882" max="15882" width="19" style="53" bestFit="1" customWidth="1"/>
    <col min="15883" max="15883" width="3.7109375" style="53" customWidth="1"/>
    <col min="15884" max="15884" width="4.42578125" style="53" bestFit="1" customWidth="1"/>
    <col min="15885" max="15885" width="3.42578125" style="53" bestFit="1" customWidth="1"/>
    <col min="15886" max="15886" width="4.42578125" style="53" bestFit="1" customWidth="1"/>
    <col min="15887" max="15887" width="3.42578125" style="53" bestFit="1" customWidth="1"/>
    <col min="15888" max="15888" width="4.42578125" style="53" bestFit="1" customWidth="1"/>
    <col min="15889" max="15889" width="3.42578125" style="53" bestFit="1" customWidth="1"/>
    <col min="15890" max="15890" width="4.42578125" style="53" bestFit="1" customWidth="1"/>
    <col min="15891" max="15891" width="17" style="53" bestFit="1" customWidth="1"/>
    <col min="15892" max="15892" width="11.42578125" style="53"/>
    <col min="15893" max="15893" width="5.28515625" style="53" bestFit="1" customWidth="1"/>
    <col min="15894" max="15894" width="11.42578125" style="53"/>
    <col min="15895" max="15895" width="5.28515625" style="53" bestFit="1" customWidth="1"/>
    <col min="15896" max="15896" width="11.42578125" style="53"/>
    <col min="15897" max="15897" width="5.28515625" style="53" bestFit="1" customWidth="1"/>
    <col min="15898" max="15898" width="11.42578125" style="53"/>
    <col min="15899" max="15899" width="5.28515625" style="53" bestFit="1" customWidth="1"/>
    <col min="15900" max="15900" width="11.42578125" style="53"/>
    <col min="15901" max="15901" width="4.140625" style="53" bestFit="1" customWidth="1"/>
    <col min="15902" max="15902" width="11.42578125" style="53"/>
    <col min="15903" max="15903" width="3.140625" style="53" bestFit="1" customWidth="1"/>
    <col min="15904" max="15904" width="14.140625" style="53" bestFit="1" customWidth="1"/>
    <col min="15905" max="15905" width="11.42578125" style="53"/>
    <col min="15906" max="15906" width="2.7109375" style="53" bestFit="1" customWidth="1"/>
    <col min="15907" max="15907" width="11.42578125" style="53"/>
    <col min="15908" max="15908" width="3.140625" style="53" bestFit="1" customWidth="1"/>
    <col min="15909" max="15909" width="16.42578125" style="53" bestFit="1" customWidth="1"/>
    <col min="15910" max="15910" width="22.42578125" style="53" customWidth="1"/>
    <col min="15911" max="16128" width="11.42578125" style="53"/>
    <col min="16129" max="16129" width="25.42578125" style="53" customWidth="1"/>
    <col min="16130" max="16130" width="16.28515625" style="53" customWidth="1"/>
    <col min="16131" max="16131" width="36" style="53" bestFit="1" customWidth="1"/>
    <col min="16132" max="16132" width="50.7109375" style="53" customWidth="1"/>
    <col min="16133" max="16133" width="13.5703125" style="53" customWidth="1"/>
    <col min="16134" max="16134" width="16.140625" style="53" customWidth="1"/>
    <col min="16135" max="16135" width="2.5703125" style="53" customWidth="1"/>
    <col min="16136" max="16136" width="11" style="53" customWidth="1"/>
    <col min="16137" max="16137" width="19.28515625" style="53" bestFit="1" customWidth="1"/>
    <col min="16138" max="16138" width="19" style="53" bestFit="1" customWidth="1"/>
    <col min="16139" max="16139" width="3.7109375" style="53" customWidth="1"/>
    <col min="16140" max="16140" width="4.42578125" style="53" bestFit="1" customWidth="1"/>
    <col min="16141" max="16141" width="3.42578125" style="53" bestFit="1" customWidth="1"/>
    <col min="16142" max="16142" width="4.42578125" style="53" bestFit="1" customWidth="1"/>
    <col min="16143" max="16143" width="3.42578125" style="53" bestFit="1" customWidth="1"/>
    <col min="16144" max="16144" width="4.42578125" style="53" bestFit="1" customWidth="1"/>
    <col min="16145" max="16145" width="3.42578125" style="53" bestFit="1" customWidth="1"/>
    <col min="16146" max="16146" width="4.42578125" style="53" bestFit="1" customWidth="1"/>
    <col min="16147" max="16147" width="17" style="53" bestFit="1" customWidth="1"/>
    <col min="16148" max="16148" width="11.42578125" style="53"/>
    <col min="16149" max="16149" width="5.28515625" style="53" bestFit="1" customWidth="1"/>
    <col min="16150" max="16150" width="11.42578125" style="53"/>
    <col min="16151" max="16151" width="5.28515625" style="53" bestFit="1" customWidth="1"/>
    <col min="16152" max="16152" width="11.42578125" style="53"/>
    <col min="16153" max="16153" width="5.28515625" style="53" bestFit="1" customWidth="1"/>
    <col min="16154" max="16154" width="11.42578125" style="53"/>
    <col min="16155" max="16155" width="5.28515625" style="53" bestFit="1" customWidth="1"/>
    <col min="16156" max="16156" width="11.42578125" style="53"/>
    <col min="16157" max="16157" width="4.140625" style="53" bestFit="1" customWidth="1"/>
    <col min="16158" max="16158" width="11.42578125" style="53"/>
    <col min="16159" max="16159" width="3.140625" style="53" bestFit="1" customWidth="1"/>
    <col min="16160" max="16160" width="14.140625" style="53" bestFit="1" customWidth="1"/>
    <col min="16161" max="16161" width="11.42578125" style="53"/>
    <col min="16162" max="16162" width="2.7109375" style="53" bestFit="1" customWidth="1"/>
    <col min="16163" max="16163" width="11.42578125" style="53"/>
    <col min="16164" max="16164" width="3.140625" style="53" bestFit="1" customWidth="1"/>
    <col min="16165" max="16165" width="16.42578125" style="53" bestFit="1" customWidth="1"/>
    <col min="16166" max="16166" width="22.42578125" style="53" customWidth="1"/>
    <col min="16167" max="16384" width="11.42578125" style="53"/>
  </cols>
  <sheetData>
    <row r="1" spans="1:38" ht="15" customHeight="1" x14ac:dyDescent="0.25">
      <c r="A1" s="1024" t="s">
        <v>0</v>
      </c>
      <c r="B1" s="1021" t="s">
        <v>1</v>
      </c>
      <c r="C1" s="1021" t="s">
        <v>2</v>
      </c>
      <c r="D1" s="1021" t="s">
        <v>3</v>
      </c>
      <c r="E1" s="1021" t="s">
        <v>4</v>
      </c>
      <c r="F1" s="1021" t="s">
        <v>5</v>
      </c>
      <c r="G1" s="1021" t="s">
        <v>6</v>
      </c>
      <c r="H1" s="1027" t="s">
        <v>7</v>
      </c>
      <c r="I1" s="1021" t="s">
        <v>8</v>
      </c>
      <c r="J1" s="1021" t="s">
        <v>9</v>
      </c>
      <c r="K1" s="1033" t="s">
        <v>10</v>
      </c>
      <c r="L1" s="1034"/>
      <c r="M1" s="1034"/>
      <c r="N1" s="1034"/>
      <c r="O1" s="1034"/>
      <c r="P1" s="1034"/>
      <c r="Q1" s="1034"/>
      <c r="R1" s="1035"/>
      <c r="S1" s="1015" t="s">
        <v>12</v>
      </c>
      <c r="T1" s="1030" t="s">
        <v>13</v>
      </c>
      <c r="U1" s="1032"/>
      <c r="V1" s="1032"/>
      <c r="W1" s="1032"/>
      <c r="X1" s="1032"/>
      <c r="Y1" s="1032"/>
      <c r="Z1" s="1032"/>
      <c r="AA1" s="1031"/>
      <c r="AB1" s="1018" t="s">
        <v>897</v>
      </c>
      <c r="AC1" s="1019"/>
      <c r="AD1" s="1019"/>
      <c r="AE1" s="1019"/>
      <c r="AF1" s="1019"/>
      <c r="AG1" s="1019"/>
      <c r="AH1" s="1019"/>
      <c r="AI1" s="1019"/>
      <c r="AJ1" s="1019"/>
      <c r="AK1" s="1020"/>
      <c r="AL1" s="1021" t="s">
        <v>15</v>
      </c>
    </row>
    <row r="2" spans="1:38" x14ac:dyDescent="0.25">
      <c r="A2" s="1025"/>
      <c r="B2" s="1022"/>
      <c r="C2" s="1022"/>
      <c r="D2" s="1022"/>
      <c r="E2" s="1022"/>
      <c r="F2" s="1022"/>
      <c r="G2" s="1022"/>
      <c r="H2" s="1028"/>
      <c r="I2" s="1022"/>
      <c r="J2" s="1022"/>
      <c r="K2" s="1030">
        <v>2012</v>
      </c>
      <c r="L2" s="1031"/>
      <c r="M2" s="1030">
        <v>2013</v>
      </c>
      <c r="N2" s="1031"/>
      <c r="O2" s="1030">
        <v>2014</v>
      </c>
      <c r="P2" s="1031"/>
      <c r="Q2" s="1030">
        <v>2015</v>
      </c>
      <c r="R2" s="1031"/>
      <c r="S2" s="1016"/>
      <c r="T2" s="1030">
        <v>2012</v>
      </c>
      <c r="U2" s="1031"/>
      <c r="V2" s="1030">
        <v>2013</v>
      </c>
      <c r="W2" s="1031"/>
      <c r="X2" s="1030">
        <v>2014</v>
      </c>
      <c r="Y2" s="1031"/>
      <c r="Z2" s="1030">
        <v>2015</v>
      </c>
      <c r="AA2" s="1031"/>
      <c r="AB2" s="1018" t="s">
        <v>16</v>
      </c>
      <c r="AC2" s="1020"/>
      <c r="AD2" s="1018" t="s">
        <v>17</v>
      </c>
      <c r="AE2" s="1019"/>
      <c r="AF2" s="1020"/>
      <c r="AG2" s="1018" t="s">
        <v>18</v>
      </c>
      <c r="AH2" s="1020"/>
      <c r="AI2" s="1018" t="s">
        <v>20</v>
      </c>
      <c r="AJ2" s="1019"/>
      <c r="AK2" s="1020"/>
      <c r="AL2" s="1022"/>
    </row>
    <row r="3" spans="1:38" x14ac:dyDescent="0.25">
      <c r="A3" s="1026"/>
      <c r="B3" s="1023"/>
      <c r="C3" s="1023"/>
      <c r="D3" s="1023"/>
      <c r="E3" s="1023"/>
      <c r="F3" s="1023"/>
      <c r="G3" s="1023"/>
      <c r="H3" s="1029"/>
      <c r="I3" s="1023"/>
      <c r="J3" s="1023"/>
      <c r="K3" s="504" t="s">
        <v>21</v>
      </c>
      <c r="L3" s="504" t="s">
        <v>22</v>
      </c>
      <c r="M3" s="504" t="s">
        <v>21</v>
      </c>
      <c r="N3" s="504" t="s">
        <v>22</v>
      </c>
      <c r="O3" s="504" t="s">
        <v>21</v>
      </c>
      <c r="P3" s="504" t="s">
        <v>22</v>
      </c>
      <c r="Q3" s="504" t="s">
        <v>21</v>
      </c>
      <c r="R3" s="504" t="s">
        <v>22</v>
      </c>
      <c r="S3" s="1017"/>
      <c r="T3" s="504" t="s">
        <v>23</v>
      </c>
      <c r="U3" s="504" t="s">
        <v>22</v>
      </c>
      <c r="V3" s="504" t="s">
        <v>23</v>
      </c>
      <c r="W3" s="504" t="s">
        <v>22</v>
      </c>
      <c r="X3" s="504" t="s">
        <v>23</v>
      </c>
      <c r="Y3" s="504" t="s">
        <v>22</v>
      </c>
      <c r="Z3" s="504" t="s">
        <v>23</v>
      </c>
      <c r="AA3" s="504" t="s">
        <v>22</v>
      </c>
      <c r="AB3" s="504" t="s">
        <v>23</v>
      </c>
      <c r="AC3" s="504" t="s">
        <v>22</v>
      </c>
      <c r="AD3" s="504" t="s">
        <v>23</v>
      </c>
      <c r="AE3" s="504" t="s">
        <v>22</v>
      </c>
      <c r="AF3" s="505" t="s">
        <v>24</v>
      </c>
      <c r="AG3" s="504" t="s">
        <v>23</v>
      </c>
      <c r="AH3" s="504" t="s">
        <v>22</v>
      </c>
      <c r="AI3" s="506" t="s">
        <v>23</v>
      </c>
      <c r="AJ3" s="506" t="s">
        <v>22</v>
      </c>
      <c r="AK3" s="507" t="s">
        <v>25</v>
      </c>
      <c r="AL3" s="1023"/>
    </row>
    <row r="4" spans="1:38" ht="135" x14ac:dyDescent="0.25">
      <c r="A4" s="694" t="s">
        <v>26</v>
      </c>
      <c r="B4" s="694" t="s">
        <v>1110</v>
      </c>
      <c r="C4" s="508"/>
      <c r="D4" s="355" t="s">
        <v>792</v>
      </c>
      <c r="E4" s="186"/>
      <c r="F4" s="186" t="s">
        <v>795</v>
      </c>
      <c r="G4" s="61"/>
      <c r="H4" s="355">
        <v>0</v>
      </c>
      <c r="I4" s="133" t="s">
        <v>799</v>
      </c>
      <c r="J4" s="301" t="s">
        <v>803</v>
      </c>
      <c r="K4" s="61">
        <v>1</v>
      </c>
      <c r="L4" s="302">
        <v>100</v>
      </c>
      <c r="M4" s="61">
        <v>0</v>
      </c>
      <c r="N4" s="302">
        <v>100</v>
      </c>
      <c r="O4" s="61">
        <v>0</v>
      </c>
      <c r="P4" s="302">
        <v>100</v>
      </c>
      <c r="Q4" s="61">
        <v>0</v>
      </c>
      <c r="R4" s="302">
        <v>100</v>
      </c>
      <c r="S4" s="174">
        <v>44000000</v>
      </c>
      <c r="T4" s="61"/>
      <c r="U4" s="302">
        <f>T4*100/S4</f>
        <v>0</v>
      </c>
      <c r="V4" s="61"/>
      <c r="W4" s="302">
        <f>V4*100/S4</f>
        <v>0</v>
      </c>
      <c r="X4" s="61"/>
      <c r="Y4" s="302"/>
      <c r="Z4" s="61"/>
      <c r="AA4" s="302"/>
      <c r="AB4" s="61"/>
      <c r="AC4" s="302">
        <v>100</v>
      </c>
      <c r="AD4" s="61"/>
      <c r="AE4" s="302"/>
      <c r="AF4" s="61"/>
      <c r="AG4" s="61"/>
      <c r="AH4" s="302"/>
      <c r="AI4" s="61"/>
      <c r="AJ4" s="302"/>
      <c r="AK4" s="61"/>
      <c r="AL4" s="209" t="s">
        <v>807</v>
      </c>
    </row>
    <row r="5" spans="1:38" ht="105" x14ac:dyDescent="0.25">
      <c r="A5" s="695"/>
      <c r="B5" s="695"/>
      <c r="C5" s="695" t="s">
        <v>1111</v>
      </c>
      <c r="D5" s="697" t="s">
        <v>793</v>
      </c>
      <c r="E5" s="509"/>
      <c r="F5" s="186" t="s">
        <v>796</v>
      </c>
      <c r="G5" s="133"/>
      <c r="H5" s="355">
        <v>0</v>
      </c>
      <c r="I5" s="133" t="s">
        <v>800</v>
      </c>
      <c r="J5" s="301" t="s">
        <v>804</v>
      </c>
      <c r="K5" s="61">
        <v>0</v>
      </c>
      <c r="L5" s="302">
        <v>0</v>
      </c>
      <c r="M5" s="61">
        <v>1</v>
      </c>
      <c r="N5" s="302">
        <v>100</v>
      </c>
      <c r="O5" s="61">
        <v>0</v>
      </c>
      <c r="P5" s="302">
        <v>100</v>
      </c>
      <c r="Q5" s="61">
        <v>0</v>
      </c>
      <c r="R5" s="302">
        <v>100</v>
      </c>
      <c r="S5" s="174">
        <v>88000000</v>
      </c>
      <c r="T5" s="174"/>
      <c r="U5" s="302">
        <f>T5*100/S5</f>
        <v>0</v>
      </c>
      <c r="V5" s="174"/>
      <c r="W5" s="302">
        <f>V5*100/S5</f>
        <v>0</v>
      </c>
      <c r="X5" s="174"/>
      <c r="Y5" s="302"/>
      <c r="Z5" s="174"/>
      <c r="AA5" s="302"/>
      <c r="AB5" s="61"/>
      <c r="AC5" s="302"/>
      <c r="AD5" s="61"/>
      <c r="AE5" s="302">
        <v>50</v>
      </c>
      <c r="AF5" s="133"/>
      <c r="AG5" s="61"/>
      <c r="AH5" s="302"/>
      <c r="AI5" s="61"/>
      <c r="AJ5" s="302"/>
      <c r="AK5" s="189"/>
      <c r="AL5" s="209" t="s">
        <v>807</v>
      </c>
    </row>
    <row r="6" spans="1:38" ht="105" x14ac:dyDescent="0.25">
      <c r="A6" s="695"/>
      <c r="B6" s="695"/>
      <c r="C6" s="695"/>
      <c r="D6" s="698"/>
      <c r="E6" s="509"/>
      <c r="F6" s="186" t="s">
        <v>797</v>
      </c>
      <c r="G6" s="133"/>
      <c r="H6" s="355">
        <v>0</v>
      </c>
      <c r="I6" s="133" t="s">
        <v>801</v>
      </c>
      <c r="J6" s="301" t="s">
        <v>805</v>
      </c>
      <c r="K6" s="61">
        <v>14</v>
      </c>
      <c r="L6" s="302">
        <v>25</v>
      </c>
      <c r="M6" s="61">
        <v>12</v>
      </c>
      <c r="N6" s="302">
        <v>50</v>
      </c>
      <c r="O6" s="61">
        <v>12</v>
      </c>
      <c r="P6" s="302">
        <v>75</v>
      </c>
      <c r="Q6" s="61">
        <v>12</v>
      </c>
      <c r="R6" s="302">
        <v>100</v>
      </c>
      <c r="S6" s="303">
        <v>10000000</v>
      </c>
      <c r="T6" s="174"/>
      <c r="U6" s="304">
        <v>0</v>
      </c>
      <c r="V6" s="174"/>
      <c r="W6" s="302">
        <v>50</v>
      </c>
      <c r="X6" s="174"/>
      <c r="Y6" s="302"/>
      <c r="Z6" s="174"/>
      <c r="AA6" s="302"/>
      <c r="AB6" s="61"/>
      <c r="AC6" s="302"/>
      <c r="AD6" s="61"/>
      <c r="AE6" s="302"/>
      <c r="AF6" s="133"/>
      <c r="AG6" s="61"/>
      <c r="AH6" s="302"/>
      <c r="AI6" s="61"/>
      <c r="AJ6" s="302"/>
      <c r="AK6" s="189"/>
      <c r="AL6" s="209" t="s">
        <v>807</v>
      </c>
    </row>
    <row r="7" spans="1:38" ht="105" x14ac:dyDescent="0.25">
      <c r="D7" s="355" t="s">
        <v>794</v>
      </c>
      <c r="E7" s="61"/>
      <c r="F7" s="186" t="s">
        <v>798</v>
      </c>
      <c r="G7" s="61"/>
      <c r="H7" s="355">
        <v>0</v>
      </c>
      <c r="I7" s="133" t="s">
        <v>802</v>
      </c>
      <c r="J7" s="301" t="s">
        <v>806</v>
      </c>
      <c r="K7" s="61">
        <v>10</v>
      </c>
      <c r="L7" s="302">
        <v>25</v>
      </c>
      <c r="M7" s="61">
        <v>10</v>
      </c>
      <c r="N7" s="302">
        <v>50</v>
      </c>
      <c r="O7" s="61">
        <v>10</v>
      </c>
      <c r="P7" s="302">
        <v>75</v>
      </c>
      <c r="Q7" s="61">
        <v>10</v>
      </c>
      <c r="R7" s="302">
        <v>100</v>
      </c>
      <c r="S7" s="303">
        <v>44000000</v>
      </c>
      <c r="T7" s="61"/>
      <c r="U7" s="302"/>
      <c r="V7" s="61"/>
      <c r="W7" s="302"/>
      <c r="X7" s="61"/>
      <c r="Y7" s="302"/>
      <c r="Z7" s="61"/>
      <c r="AA7" s="302"/>
      <c r="AB7" s="61"/>
      <c r="AC7" s="302"/>
      <c r="AD7" s="61"/>
      <c r="AE7" s="302"/>
      <c r="AF7" s="61"/>
      <c r="AG7" s="61"/>
      <c r="AH7" s="302"/>
      <c r="AI7" s="61"/>
      <c r="AJ7" s="302"/>
      <c r="AK7" s="61"/>
      <c r="AL7" s="133" t="s">
        <v>807</v>
      </c>
    </row>
  </sheetData>
  <mergeCells count="31">
    <mergeCell ref="AL1:AL3"/>
    <mergeCell ref="K2:L2"/>
    <mergeCell ref="M2:N2"/>
    <mergeCell ref="O2:P2"/>
    <mergeCell ref="Q2:R2"/>
    <mergeCell ref="AI2:AK2"/>
    <mergeCell ref="T1:AA1"/>
    <mergeCell ref="K1:R1"/>
    <mergeCell ref="T2:U2"/>
    <mergeCell ref="V2:W2"/>
    <mergeCell ref="X2:Y2"/>
    <mergeCell ref="Z2:AA2"/>
    <mergeCell ref="S1:S3"/>
    <mergeCell ref="AB2:AC2"/>
    <mergeCell ref="AD2:AF2"/>
    <mergeCell ref="AG2:AH2"/>
    <mergeCell ref="A4:A6"/>
    <mergeCell ref="B4:B6"/>
    <mergeCell ref="C5:C6"/>
    <mergeCell ref="D5:D6"/>
    <mergeCell ref="AB1:AK1"/>
    <mergeCell ref="B1:B3"/>
    <mergeCell ref="C1:C3"/>
    <mergeCell ref="D1:D3"/>
    <mergeCell ref="E1:E3"/>
    <mergeCell ref="F1:F3"/>
    <mergeCell ref="G1:G3"/>
    <mergeCell ref="J1:J3"/>
    <mergeCell ref="A1:A3"/>
    <mergeCell ref="H1:H3"/>
    <mergeCell ref="I1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cols>
    <col min="1" max="1" width="11.42578125" style="53"/>
  </cols>
  <sheetData>
    <row r="1" spans="1:42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253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940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24" x14ac:dyDescent="0.25">
      <c r="A3" s="941"/>
      <c r="B3" s="678"/>
      <c r="C3" s="678"/>
      <c r="D3" s="678"/>
      <c r="E3" s="678"/>
      <c r="F3" s="678"/>
      <c r="G3" s="678"/>
      <c r="H3" s="678"/>
      <c r="I3" s="680"/>
      <c r="J3" s="256" t="s">
        <v>21</v>
      </c>
      <c r="K3" s="254" t="s">
        <v>22</v>
      </c>
      <c r="L3" s="254" t="s">
        <v>21</v>
      </c>
      <c r="M3" s="254" t="s">
        <v>22</v>
      </c>
      <c r="N3" s="254" t="s">
        <v>21</v>
      </c>
      <c r="O3" s="254" t="s">
        <v>22</v>
      </c>
      <c r="P3" s="254" t="s">
        <v>21</v>
      </c>
      <c r="Q3" s="254" t="s">
        <v>22</v>
      </c>
      <c r="R3" s="669"/>
      <c r="S3" s="667"/>
      <c r="T3" s="256" t="s">
        <v>23</v>
      </c>
      <c r="U3" s="254" t="s">
        <v>22</v>
      </c>
      <c r="V3" s="254" t="s">
        <v>23</v>
      </c>
      <c r="W3" s="254" t="s">
        <v>22</v>
      </c>
      <c r="X3" s="254" t="s">
        <v>23</v>
      </c>
      <c r="Y3" s="254" t="s">
        <v>22</v>
      </c>
      <c r="Z3" s="254" t="s">
        <v>23</v>
      </c>
      <c r="AA3" s="255" t="s">
        <v>22</v>
      </c>
      <c r="AB3" s="256" t="s">
        <v>23</v>
      </c>
      <c r="AC3" s="254" t="s">
        <v>22</v>
      </c>
      <c r="AD3" s="254" t="s">
        <v>23</v>
      </c>
      <c r="AE3" s="254" t="s">
        <v>22</v>
      </c>
      <c r="AF3" s="254" t="s">
        <v>24</v>
      </c>
      <c r="AG3" s="254" t="s">
        <v>23</v>
      </c>
      <c r="AH3" s="254" t="s">
        <v>22</v>
      </c>
      <c r="AI3" s="59" t="s">
        <v>23</v>
      </c>
      <c r="AJ3" s="59" t="s">
        <v>22</v>
      </c>
      <c r="AK3" s="257" t="s">
        <v>23</v>
      </c>
      <c r="AL3" s="254" t="s">
        <v>22</v>
      </c>
      <c r="AM3" s="79" t="s">
        <v>25</v>
      </c>
      <c r="AN3" s="252" t="s">
        <v>109</v>
      </c>
      <c r="AO3" s="252" t="s">
        <v>113</v>
      </c>
      <c r="AP3" s="252" t="s">
        <v>111</v>
      </c>
    </row>
    <row r="4" spans="1:42" x14ac:dyDescent="0.25">
      <c r="A4" s="62"/>
      <c r="B4" s="62"/>
      <c r="C4" s="62"/>
      <c r="D4" s="62"/>
      <c r="E4" s="62"/>
      <c r="F4" s="62"/>
      <c r="G4" s="63"/>
      <c r="H4" s="63"/>
      <c r="I4" s="63"/>
      <c r="J4" s="64"/>
      <c r="K4" s="65"/>
      <c r="L4" s="64"/>
      <c r="M4" s="65"/>
      <c r="N4" s="64"/>
      <c r="O4" s="65"/>
      <c r="P4" s="64"/>
      <c r="Q4" s="65"/>
      <c r="R4" s="66"/>
      <c r="S4" s="67"/>
      <c r="T4" s="68"/>
      <c r="U4" s="65"/>
      <c r="V4" s="68"/>
      <c r="W4" s="65"/>
      <c r="X4" s="68"/>
      <c r="Y4" s="65"/>
      <c r="Z4" s="68"/>
      <c r="AA4" s="65"/>
      <c r="AB4" s="68"/>
      <c r="AC4" s="65"/>
      <c r="AD4" s="68"/>
      <c r="AE4" s="65"/>
      <c r="AF4" s="63"/>
      <c r="AG4" s="63"/>
      <c r="AH4" s="63"/>
      <c r="AI4" s="69"/>
      <c r="AJ4" s="70"/>
      <c r="AK4" s="63"/>
      <c r="AL4" s="63"/>
      <c r="AM4" s="63"/>
      <c r="AN4" s="62"/>
      <c r="AO4" s="62"/>
      <c r="AP4" s="62"/>
    </row>
    <row r="5" spans="1:42" x14ac:dyDescent="0.25">
      <c r="A5" s="62"/>
      <c r="B5" s="62"/>
      <c r="C5" s="62"/>
      <c r="D5" s="62"/>
      <c r="E5" s="62"/>
      <c r="F5" s="62"/>
      <c r="G5" s="63"/>
      <c r="H5" s="63"/>
      <c r="I5" s="63"/>
      <c r="J5" s="64"/>
      <c r="K5" s="65"/>
      <c r="L5" s="64"/>
      <c r="M5" s="65"/>
      <c r="N5" s="64"/>
      <c r="O5" s="65"/>
      <c r="P5" s="64"/>
      <c r="Q5" s="65"/>
      <c r="R5" s="66"/>
      <c r="S5" s="67"/>
      <c r="T5" s="68"/>
      <c r="U5" s="65"/>
      <c r="V5" s="68"/>
      <c r="W5" s="65"/>
      <c r="X5" s="68"/>
      <c r="Y5" s="65"/>
      <c r="Z5" s="68"/>
      <c r="AA5" s="65"/>
      <c r="AB5" s="68"/>
      <c r="AC5" s="65"/>
      <c r="AD5" s="68"/>
      <c r="AE5" s="65"/>
      <c r="AF5" s="63"/>
      <c r="AG5" s="63"/>
      <c r="AH5" s="68"/>
      <c r="AI5" s="69"/>
      <c r="AJ5" s="70"/>
      <c r="AK5" s="63"/>
      <c r="AL5" s="63"/>
      <c r="AM5" s="63"/>
      <c r="AN5" s="62"/>
      <c r="AO5" s="62"/>
      <c r="AP5" s="62"/>
    </row>
    <row r="6" spans="1:42" x14ac:dyDescent="0.25">
      <c r="A6" s="62"/>
      <c r="B6" s="62"/>
      <c r="C6" s="62"/>
      <c r="D6" s="62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  <c r="P6" s="64"/>
      <c r="Q6" s="65"/>
      <c r="R6" s="66"/>
      <c r="S6" s="67"/>
      <c r="T6" s="68"/>
      <c r="U6" s="65"/>
      <c r="V6" s="68"/>
      <c r="W6" s="65"/>
      <c r="X6" s="68"/>
      <c r="Y6" s="65"/>
      <c r="Z6" s="68"/>
      <c r="AA6" s="65"/>
      <c r="AB6" s="68"/>
      <c r="AC6" s="65"/>
      <c r="AD6" s="68"/>
      <c r="AE6" s="65"/>
      <c r="AF6" s="63"/>
      <c r="AG6" s="63"/>
      <c r="AH6" s="63"/>
      <c r="AI6" s="71"/>
      <c r="AJ6" s="70"/>
      <c r="AK6" s="63"/>
      <c r="AL6" s="63"/>
      <c r="AM6" s="63"/>
      <c r="AN6" s="62"/>
      <c r="AO6" s="62"/>
      <c r="AP6" s="62"/>
    </row>
    <row r="7" spans="1:42" x14ac:dyDescent="0.25">
      <c r="A7" s="62"/>
      <c r="B7" s="62"/>
      <c r="C7" s="62"/>
      <c r="D7" s="62"/>
      <c r="E7" s="62"/>
      <c r="F7" s="62"/>
      <c r="G7" s="63"/>
      <c r="H7" s="63"/>
      <c r="I7" s="63"/>
      <c r="J7" s="64"/>
      <c r="K7" s="65"/>
      <c r="L7" s="64"/>
      <c r="M7" s="65"/>
      <c r="N7" s="64"/>
      <c r="O7" s="65"/>
      <c r="P7" s="64"/>
      <c r="Q7" s="65"/>
      <c r="R7" s="66"/>
      <c r="S7" s="67"/>
      <c r="T7" s="68"/>
      <c r="U7" s="65"/>
      <c r="V7" s="68"/>
      <c r="W7" s="65"/>
      <c r="X7" s="68"/>
      <c r="Y7" s="65"/>
      <c r="Z7" s="68"/>
      <c r="AA7" s="65"/>
      <c r="AB7" s="68"/>
      <c r="AC7" s="65"/>
      <c r="AD7" s="68"/>
      <c r="AE7" s="65"/>
      <c r="AF7" s="63"/>
      <c r="AG7" s="63"/>
      <c r="AH7" s="63"/>
      <c r="AI7" s="69"/>
      <c r="AJ7" s="70"/>
      <c r="AK7" s="63"/>
      <c r="AL7" s="63"/>
      <c r="AM7" s="63"/>
      <c r="AN7" s="62"/>
      <c r="AO7" s="62"/>
      <c r="AP7" s="62"/>
    </row>
    <row r="8" spans="1:42" x14ac:dyDescent="0.25">
      <c r="A8" s="62"/>
      <c r="B8" s="62"/>
      <c r="C8" s="62"/>
      <c r="D8" s="62"/>
      <c r="E8" s="62"/>
      <c r="F8" s="62"/>
      <c r="G8" s="63"/>
      <c r="H8" s="63"/>
      <c r="I8" s="63"/>
      <c r="J8" s="64"/>
      <c r="K8" s="65"/>
      <c r="L8" s="64"/>
      <c r="M8" s="65"/>
      <c r="N8" s="64"/>
      <c r="O8" s="65"/>
      <c r="P8" s="64"/>
      <c r="Q8" s="65"/>
      <c r="R8" s="66"/>
      <c r="S8" s="67"/>
      <c r="T8" s="68"/>
      <c r="U8" s="65"/>
      <c r="V8" s="68"/>
      <c r="W8" s="65"/>
      <c r="X8" s="68"/>
      <c r="Y8" s="65"/>
      <c r="Z8" s="68"/>
      <c r="AA8" s="65"/>
      <c r="AB8" s="68"/>
      <c r="AC8" s="65"/>
      <c r="AD8" s="68"/>
      <c r="AE8" s="65"/>
      <c r="AF8" s="63"/>
      <c r="AG8" s="63"/>
      <c r="AH8" s="63"/>
      <c r="AI8" s="71"/>
      <c r="AJ8" s="70"/>
      <c r="AK8" s="63"/>
      <c r="AL8" s="63"/>
      <c r="AM8" s="63"/>
      <c r="AN8" s="62"/>
      <c r="AO8" s="62"/>
      <c r="AP8" s="62"/>
    </row>
    <row r="9" spans="1:42" x14ac:dyDescent="0.25">
      <c r="A9" s="62"/>
      <c r="B9" s="62"/>
      <c r="C9" s="62"/>
      <c r="D9" s="62"/>
      <c r="E9" s="62"/>
      <c r="F9" s="62"/>
      <c r="G9" s="63"/>
      <c r="H9" s="63"/>
      <c r="I9" s="63"/>
      <c r="J9" s="64"/>
      <c r="K9" s="65"/>
      <c r="L9" s="64"/>
      <c r="M9" s="65"/>
      <c r="N9" s="64"/>
      <c r="O9" s="65"/>
      <c r="P9" s="64"/>
      <c r="Q9" s="65"/>
      <c r="R9" s="66"/>
      <c r="S9" s="67"/>
      <c r="T9" s="68"/>
      <c r="U9" s="65"/>
      <c r="V9" s="68"/>
      <c r="W9" s="65"/>
      <c r="X9" s="68"/>
      <c r="Y9" s="65"/>
      <c r="Z9" s="68"/>
      <c r="AA9" s="65"/>
      <c r="AB9" s="68"/>
      <c r="AC9" s="65"/>
      <c r="AD9" s="68"/>
      <c r="AE9" s="65"/>
      <c r="AF9" s="63"/>
      <c r="AG9" s="63"/>
      <c r="AH9" s="63"/>
      <c r="AI9" s="71"/>
      <c r="AJ9" s="70"/>
      <c r="AK9" s="63"/>
      <c r="AL9" s="63"/>
      <c r="AM9" s="63"/>
      <c r="AN9" s="62"/>
      <c r="AO9" s="62"/>
      <c r="AP9" s="62"/>
    </row>
    <row r="10" spans="1:42" x14ac:dyDescent="0.25">
      <c r="A10" s="62"/>
      <c r="B10" s="62"/>
      <c r="C10" s="62"/>
      <c r="D10" s="62"/>
      <c r="E10" s="62"/>
      <c r="F10" s="62"/>
      <c r="G10" s="63"/>
      <c r="H10" s="63"/>
      <c r="I10" s="63"/>
      <c r="J10" s="64"/>
      <c r="K10" s="65"/>
      <c r="L10" s="64"/>
      <c r="M10" s="65"/>
      <c r="N10" s="64"/>
      <c r="O10" s="65"/>
      <c r="P10" s="64"/>
      <c r="Q10" s="65"/>
      <c r="R10" s="66"/>
      <c r="S10" s="67"/>
      <c r="T10" s="68"/>
      <c r="U10" s="65"/>
      <c r="V10" s="68"/>
      <c r="W10" s="65"/>
      <c r="X10" s="68"/>
      <c r="Y10" s="65"/>
      <c r="Z10" s="68"/>
      <c r="AA10" s="65"/>
      <c r="AB10" s="68"/>
      <c r="AC10" s="65"/>
      <c r="AD10" s="68"/>
      <c r="AE10" s="65"/>
      <c r="AF10" s="63"/>
      <c r="AG10" s="63"/>
      <c r="AH10" s="63"/>
      <c r="AI10" s="69"/>
      <c r="AJ10" s="70"/>
      <c r="AK10" s="63"/>
      <c r="AL10" s="63"/>
      <c r="AM10" s="63"/>
      <c r="AN10" s="62"/>
      <c r="AO10" s="62"/>
      <c r="AP10" s="62"/>
    </row>
    <row r="11" spans="1:4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x14ac:dyDescent="0.25">
      <c r="A15" s="62"/>
      <c r="B15" s="62"/>
      <c r="C15" s="62"/>
      <c r="D15" s="62"/>
      <c r="E15" s="62"/>
      <c r="F15" s="62"/>
      <c r="G15" s="63"/>
      <c r="H15" s="63"/>
      <c r="I15" s="63"/>
      <c r="J15" s="64"/>
      <c r="K15" s="65"/>
      <c r="L15" s="64"/>
      <c r="M15" s="65"/>
      <c r="N15" s="64"/>
      <c r="O15" s="65"/>
      <c r="P15" s="64"/>
      <c r="Q15" s="65"/>
      <c r="R15" s="66"/>
      <c r="S15" s="67"/>
      <c r="T15" s="68"/>
      <c r="U15" s="65"/>
      <c r="V15" s="68"/>
      <c r="W15" s="65"/>
      <c r="X15" s="68"/>
      <c r="Y15" s="65"/>
      <c r="Z15" s="68"/>
      <c r="AA15" s="65"/>
      <c r="AB15" s="68"/>
      <c r="AC15" s="65"/>
      <c r="AD15" s="68"/>
      <c r="AE15" s="65"/>
      <c r="AF15" s="63"/>
      <c r="AG15" s="63"/>
      <c r="AH15" s="63"/>
      <c r="AI15" s="69"/>
      <c r="AJ15" s="70"/>
      <c r="AK15" s="63"/>
      <c r="AL15" s="63"/>
      <c r="AM15" s="63"/>
      <c r="AN15" s="62"/>
      <c r="AO15" s="62"/>
      <c r="AP15" s="62"/>
    </row>
    <row r="16" spans="1:42" x14ac:dyDescent="0.25">
      <c r="A16" s="62"/>
      <c r="B16" s="62"/>
      <c r="C16" s="62"/>
      <c r="D16" s="62"/>
      <c r="E16" s="62"/>
      <c r="F16" s="62"/>
      <c r="G16" s="63"/>
      <c r="H16" s="63"/>
      <c r="I16" s="63"/>
      <c r="J16" s="64"/>
      <c r="K16" s="65"/>
      <c r="L16" s="64"/>
      <c r="M16" s="65"/>
      <c r="N16" s="64"/>
      <c r="O16" s="65"/>
      <c r="P16" s="64"/>
      <c r="Q16" s="65"/>
      <c r="R16" s="66"/>
      <c r="S16" s="67"/>
      <c r="T16" s="68"/>
      <c r="U16" s="65"/>
      <c r="V16" s="68"/>
      <c r="W16" s="65"/>
      <c r="X16" s="68"/>
      <c r="Y16" s="65"/>
      <c r="Z16" s="68"/>
      <c r="AA16" s="65"/>
      <c r="AB16" s="68"/>
      <c r="AC16" s="65"/>
      <c r="AD16" s="68"/>
      <c r="AE16" s="65"/>
      <c r="AF16" s="63"/>
      <c r="AG16" s="63"/>
      <c r="AH16" s="68"/>
      <c r="AI16" s="69"/>
      <c r="AJ16" s="70"/>
      <c r="AK16" s="63"/>
      <c r="AL16" s="63"/>
      <c r="AM16" s="63"/>
      <c r="AN16" s="62"/>
      <c r="AO16" s="62"/>
      <c r="AP16" s="62"/>
    </row>
    <row r="17" spans="1:42" x14ac:dyDescent="0.25">
      <c r="A17" s="62"/>
      <c r="B17" s="62"/>
      <c r="C17" s="62"/>
      <c r="D17" s="62"/>
      <c r="E17" s="62"/>
      <c r="F17" s="62"/>
      <c r="G17" s="63"/>
      <c r="H17" s="63"/>
      <c r="I17" s="63"/>
      <c r="J17" s="64"/>
      <c r="K17" s="65"/>
      <c r="L17" s="64"/>
      <c r="M17" s="65"/>
      <c r="N17" s="64"/>
      <c r="O17" s="65"/>
      <c r="P17" s="64"/>
      <c r="Q17" s="65"/>
      <c r="R17" s="66"/>
      <c r="S17" s="67"/>
      <c r="T17" s="68"/>
      <c r="U17" s="65"/>
      <c r="V17" s="68"/>
      <c r="W17" s="65"/>
      <c r="X17" s="68"/>
      <c r="Y17" s="65"/>
      <c r="Z17" s="68"/>
      <c r="AA17" s="65"/>
      <c r="AB17" s="68"/>
      <c r="AC17" s="65"/>
      <c r="AD17" s="68"/>
      <c r="AE17" s="65"/>
      <c r="AF17" s="63"/>
      <c r="AG17" s="63"/>
      <c r="AH17" s="63"/>
      <c r="AI17" s="71"/>
      <c r="AJ17" s="70"/>
      <c r="AK17" s="63"/>
      <c r="AL17" s="63"/>
      <c r="AM17" s="63"/>
      <c r="AN17" s="62"/>
      <c r="AO17" s="62"/>
      <c r="AP17" s="62"/>
    </row>
    <row r="18" spans="1:42" x14ac:dyDescent="0.25">
      <c r="A18" s="62"/>
      <c r="B18" s="62"/>
      <c r="C18" s="62"/>
      <c r="D18" s="62"/>
      <c r="E18" s="62"/>
      <c r="F18" s="62"/>
      <c r="G18" s="63"/>
      <c r="H18" s="63"/>
      <c r="I18" s="63"/>
      <c r="J18" s="64"/>
      <c r="K18" s="65"/>
      <c r="L18" s="64"/>
      <c r="M18" s="65"/>
      <c r="N18" s="64"/>
      <c r="O18" s="65"/>
      <c r="P18" s="64"/>
      <c r="Q18" s="65"/>
      <c r="R18" s="66"/>
      <c r="S18" s="67"/>
      <c r="T18" s="68"/>
      <c r="U18" s="65"/>
      <c r="V18" s="68"/>
      <c r="W18" s="65"/>
      <c r="X18" s="68"/>
      <c r="Y18" s="65"/>
      <c r="Z18" s="68"/>
      <c r="AA18" s="65"/>
      <c r="AB18" s="68"/>
      <c r="AC18" s="65"/>
      <c r="AD18" s="68"/>
      <c r="AE18" s="65"/>
      <c r="AF18" s="63"/>
      <c r="AG18" s="63"/>
      <c r="AH18" s="63"/>
      <c r="AI18" s="69"/>
      <c r="AJ18" s="70"/>
      <c r="AK18" s="63"/>
      <c r="AL18" s="63"/>
      <c r="AM18" s="63"/>
      <c r="AN18" s="62"/>
      <c r="AO18" s="62"/>
      <c r="AP18" s="62"/>
    </row>
    <row r="19" spans="1:42" x14ac:dyDescent="0.25">
      <c r="A19" s="62"/>
      <c r="B19" s="62"/>
      <c r="C19" s="62"/>
      <c r="D19" s="62"/>
      <c r="E19" s="62"/>
      <c r="F19" s="62"/>
      <c r="G19" s="63"/>
      <c r="H19" s="63"/>
      <c r="I19" s="63"/>
      <c r="J19" s="64"/>
      <c r="K19" s="65"/>
      <c r="L19" s="64"/>
      <c r="M19" s="65"/>
      <c r="N19" s="64"/>
      <c r="O19" s="65"/>
      <c r="P19" s="64"/>
      <c r="Q19" s="65"/>
      <c r="R19" s="66"/>
      <c r="S19" s="67"/>
      <c r="T19" s="68"/>
      <c r="U19" s="65"/>
      <c r="V19" s="68"/>
      <c r="W19" s="65"/>
      <c r="X19" s="68"/>
      <c r="Y19" s="65"/>
      <c r="Z19" s="68"/>
      <c r="AA19" s="65"/>
      <c r="AB19" s="68"/>
      <c r="AC19" s="65"/>
      <c r="AD19" s="68"/>
      <c r="AE19" s="65"/>
      <c r="AF19" s="63"/>
      <c r="AG19" s="63"/>
      <c r="AH19" s="63"/>
      <c r="AI19" s="71"/>
      <c r="AJ19" s="70"/>
      <c r="AK19" s="63"/>
      <c r="AL19" s="63"/>
      <c r="AM19" s="63"/>
      <c r="AN19" s="62"/>
      <c r="AO19" s="62"/>
      <c r="AP19" s="62"/>
    </row>
    <row r="20" spans="1:42" x14ac:dyDescent="0.25">
      <c r="A20" s="62"/>
      <c r="B20" s="62"/>
      <c r="C20" s="62"/>
      <c r="D20" s="62"/>
      <c r="E20" s="62"/>
      <c r="F20" s="62"/>
      <c r="G20" s="63"/>
      <c r="H20" s="63"/>
      <c r="I20" s="63"/>
      <c r="J20" s="64"/>
      <c r="K20" s="65"/>
      <c r="L20" s="64"/>
      <c r="M20" s="65"/>
      <c r="N20" s="64"/>
      <c r="O20" s="65"/>
      <c r="P20" s="64"/>
      <c r="Q20" s="65"/>
      <c r="R20" s="66"/>
      <c r="S20" s="67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3"/>
      <c r="AG20" s="63"/>
      <c r="AH20" s="63"/>
      <c r="AI20" s="71"/>
      <c r="AJ20" s="70"/>
      <c r="AK20" s="63"/>
      <c r="AL20" s="63"/>
      <c r="AM20" s="63"/>
      <c r="AN20" s="62"/>
      <c r="AO20" s="62"/>
      <c r="AP20" s="62"/>
    </row>
    <row r="21" spans="1:42" x14ac:dyDescent="0.25">
      <c r="A21" s="62"/>
      <c r="B21" s="62"/>
      <c r="C21" s="62"/>
      <c r="D21" s="62"/>
      <c r="E21" s="62"/>
      <c r="F21" s="62"/>
      <c r="G21" s="63"/>
      <c r="H21" s="63"/>
      <c r="I21" s="63"/>
      <c r="J21" s="64"/>
      <c r="K21" s="65"/>
      <c r="L21" s="64"/>
      <c r="M21" s="65"/>
      <c r="N21" s="64"/>
      <c r="O21" s="65"/>
      <c r="P21" s="64"/>
      <c r="Q21" s="65"/>
      <c r="R21" s="66"/>
      <c r="S21" s="67"/>
      <c r="T21" s="68"/>
      <c r="U21" s="65"/>
      <c r="V21" s="68"/>
      <c r="W21" s="65"/>
      <c r="X21" s="68"/>
      <c r="Y21" s="65"/>
      <c r="Z21" s="68"/>
      <c r="AA21" s="65"/>
      <c r="AB21" s="68"/>
      <c r="AC21" s="65"/>
      <c r="AD21" s="68"/>
      <c r="AE21" s="65"/>
      <c r="AF21" s="63"/>
      <c r="AG21" s="63"/>
      <c r="AH21" s="63"/>
      <c r="AI21" s="69"/>
      <c r="AJ21" s="70"/>
      <c r="AK21" s="63"/>
      <c r="AL21" s="63"/>
      <c r="AM21" s="63"/>
      <c r="AN21" s="62"/>
      <c r="AO21" s="62"/>
      <c r="AP21" s="62"/>
    </row>
    <row r="22" spans="1:4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sheetData>
    <row r="1" spans="1:42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253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940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24" x14ac:dyDescent="0.25">
      <c r="A3" s="941"/>
      <c r="B3" s="678"/>
      <c r="C3" s="678"/>
      <c r="D3" s="678"/>
      <c r="E3" s="678"/>
      <c r="F3" s="678"/>
      <c r="G3" s="678"/>
      <c r="H3" s="678"/>
      <c r="I3" s="680"/>
      <c r="J3" s="256" t="s">
        <v>21</v>
      </c>
      <c r="K3" s="254" t="s">
        <v>22</v>
      </c>
      <c r="L3" s="254" t="s">
        <v>21</v>
      </c>
      <c r="M3" s="254" t="s">
        <v>22</v>
      </c>
      <c r="N3" s="254" t="s">
        <v>21</v>
      </c>
      <c r="O3" s="254" t="s">
        <v>22</v>
      </c>
      <c r="P3" s="254" t="s">
        <v>21</v>
      </c>
      <c r="Q3" s="254" t="s">
        <v>22</v>
      </c>
      <c r="R3" s="669"/>
      <c r="S3" s="667"/>
      <c r="T3" s="256" t="s">
        <v>23</v>
      </c>
      <c r="U3" s="254" t="s">
        <v>22</v>
      </c>
      <c r="V3" s="254" t="s">
        <v>23</v>
      </c>
      <c r="W3" s="254" t="s">
        <v>22</v>
      </c>
      <c r="X3" s="254" t="s">
        <v>23</v>
      </c>
      <c r="Y3" s="254" t="s">
        <v>22</v>
      </c>
      <c r="Z3" s="254" t="s">
        <v>23</v>
      </c>
      <c r="AA3" s="255" t="s">
        <v>22</v>
      </c>
      <c r="AB3" s="256" t="s">
        <v>23</v>
      </c>
      <c r="AC3" s="254" t="s">
        <v>22</v>
      </c>
      <c r="AD3" s="254" t="s">
        <v>23</v>
      </c>
      <c r="AE3" s="254" t="s">
        <v>22</v>
      </c>
      <c r="AF3" s="254" t="s">
        <v>24</v>
      </c>
      <c r="AG3" s="254" t="s">
        <v>23</v>
      </c>
      <c r="AH3" s="254" t="s">
        <v>22</v>
      </c>
      <c r="AI3" s="59" t="s">
        <v>23</v>
      </c>
      <c r="AJ3" s="59" t="s">
        <v>22</v>
      </c>
      <c r="AK3" s="257" t="s">
        <v>23</v>
      </c>
      <c r="AL3" s="254" t="s">
        <v>22</v>
      </c>
      <c r="AM3" s="79" t="s">
        <v>25</v>
      </c>
      <c r="AN3" s="252" t="s">
        <v>109</v>
      </c>
      <c r="AO3" s="252" t="s">
        <v>113</v>
      </c>
      <c r="AP3" s="252" t="s">
        <v>111</v>
      </c>
    </row>
    <row r="4" spans="1:42" x14ac:dyDescent="0.25">
      <c r="A4" s="62"/>
      <c r="B4" s="62"/>
      <c r="C4" s="62"/>
      <c r="D4" s="62"/>
      <c r="E4" s="62"/>
      <c r="F4" s="63"/>
      <c r="G4" s="63"/>
      <c r="H4" s="63"/>
      <c r="I4" s="64"/>
      <c r="J4" s="65"/>
      <c r="K4" s="64"/>
      <c r="L4" s="65"/>
      <c r="M4" s="64"/>
      <c r="N4" s="65"/>
      <c r="O4" s="64"/>
      <c r="P4" s="65"/>
      <c r="Q4" s="66"/>
      <c r="R4" s="67"/>
      <c r="S4" s="68"/>
      <c r="T4" s="65"/>
      <c r="U4" s="68"/>
      <c r="V4" s="65"/>
      <c r="W4" s="68"/>
      <c r="X4" s="65"/>
      <c r="Y4" s="68"/>
      <c r="Z4" s="65"/>
      <c r="AA4" s="68"/>
      <c r="AB4" s="65"/>
      <c r="AC4" s="68"/>
      <c r="AD4" s="65"/>
      <c r="AE4" s="63"/>
      <c r="AF4" s="63"/>
      <c r="AG4" s="63"/>
      <c r="AH4" s="69"/>
      <c r="AI4" s="70"/>
      <c r="AJ4" s="63"/>
      <c r="AK4" s="63"/>
      <c r="AL4" s="63"/>
      <c r="AM4" s="62"/>
      <c r="AN4" s="62"/>
      <c r="AO4" s="62"/>
    </row>
    <row r="5" spans="1:42" x14ac:dyDescent="0.25">
      <c r="A5" s="62"/>
      <c r="B5" s="62"/>
      <c r="C5" s="62"/>
      <c r="D5" s="62"/>
      <c r="E5" s="62"/>
      <c r="F5" s="63"/>
      <c r="G5" s="63"/>
      <c r="H5" s="63"/>
      <c r="I5" s="64"/>
      <c r="J5" s="65"/>
      <c r="K5" s="64"/>
      <c r="L5" s="65"/>
      <c r="M5" s="64"/>
      <c r="N5" s="65"/>
      <c r="O5" s="64"/>
      <c r="P5" s="65"/>
      <c r="Q5" s="66"/>
      <c r="R5" s="67"/>
      <c r="S5" s="68"/>
      <c r="T5" s="65"/>
      <c r="U5" s="68"/>
      <c r="V5" s="65"/>
      <c r="W5" s="68"/>
      <c r="X5" s="65"/>
      <c r="Y5" s="68"/>
      <c r="Z5" s="65"/>
      <c r="AA5" s="68"/>
      <c r="AB5" s="65"/>
      <c r="AC5" s="68"/>
      <c r="AD5" s="65"/>
      <c r="AE5" s="63"/>
      <c r="AF5" s="63"/>
      <c r="AG5" s="68"/>
      <c r="AH5" s="69"/>
      <c r="AI5" s="70"/>
      <c r="AJ5" s="63"/>
      <c r="AK5" s="63"/>
      <c r="AL5" s="63"/>
      <c r="AM5" s="62"/>
      <c r="AN5" s="62"/>
      <c r="AO5" s="62"/>
    </row>
    <row r="6" spans="1:42" x14ac:dyDescent="0.25">
      <c r="A6" s="62"/>
      <c r="B6" s="62"/>
      <c r="C6" s="62"/>
      <c r="D6" s="62"/>
      <c r="E6" s="62"/>
      <c r="F6" s="63"/>
      <c r="G6" s="63"/>
      <c r="H6" s="63"/>
      <c r="I6" s="64"/>
      <c r="J6" s="65"/>
      <c r="K6" s="64"/>
      <c r="L6" s="65"/>
      <c r="M6" s="64"/>
      <c r="N6" s="65"/>
      <c r="O6" s="64"/>
      <c r="P6" s="65"/>
      <c r="Q6" s="66"/>
      <c r="R6" s="67"/>
      <c r="S6" s="68"/>
      <c r="T6" s="65"/>
      <c r="U6" s="68"/>
      <c r="V6" s="65"/>
      <c r="W6" s="68"/>
      <c r="X6" s="65"/>
      <c r="Y6" s="68"/>
      <c r="Z6" s="65"/>
      <c r="AA6" s="68"/>
      <c r="AB6" s="65"/>
      <c r="AC6" s="68"/>
      <c r="AD6" s="65"/>
      <c r="AE6" s="63"/>
      <c r="AF6" s="63"/>
      <c r="AG6" s="63"/>
      <c r="AH6" s="71"/>
      <c r="AI6" s="70"/>
      <c r="AJ6" s="63"/>
      <c r="AK6" s="63"/>
      <c r="AL6" s="63"/>
      <c r="AM6" s="62"/>
      <c r="AN6" s="62"/>
      <c r="AO6" s="62"/>
    </row>
    <row r="7" spans="1:42" x14ac:dyDescent="0.25">
      <c r="A7" s="62"/>
      <c r="B7" s="62"/>
      <c r="C7" s="62"/>
      <c r="D7" s="62"/>
      <c r="E7" s="62"/>
      <c r="F7" s="63"/>
      <c r="G7" s="63"/>
      <c r="H7" s="63"/>
      <c r="I7" s="64"/>
      <c r="J7" s="65"/>
      <c r="K7" s="64"/>
      <c r="L7" s="65"/>
      <c r="M7" s="64"/>
      <c r="N7" s="65"/>
      <c r="O7" s="64"/>
      <c r="P7" s="65"/>
      <c r="Q7" s="66"/>
      <c r="R7" s="67"/>
      <c r="S7" s="68"/>
      <c r="T7" s="65"/>
      <c r="U7" s="68"/>
      <c r="V7" s="65"/>
      <c r="W7" s="68"/>
      <c r="X7" s="65"/>
      <c r="Y7" s="68"/>
      <c r="Z7" s="65"/>
      <c r="AA7" s="68"/>
      <c r="AB7" s="65"/>
      <c r="AC7" s="68"/>
      <c r="AD7" s="65"/>
      <c r="AE7" s="63"/>
      <c r="AF7" s="63"/>
      <c r="AG7" s="63"/>
      <c r="AH7" s="69"/>
      <c r="AI7" s="70"/>
      <c r="AJ7" s="63"/>
      <c r="AK7" s="63"/>
      <c r="AL7" s="63"/>
      <c r="AM7" s="62"/>
      <c r="AN7" s="62"/>
      <c r="AO7" s="62"/>
    </row>
    <row r="8" spans="1:42" x14ac:dyDescent="0.25">
      <c r="A8" s="62"/>
      <c r="B8" s="62"/>
      <c r="C8" s="62"/>
      <c r="D8" s="62"/>
      <c r="E8" s="62"/>
      <c r="F8" s="63"/>
      <c r="G8" s="63"/>
      <c r="H8" s="63"/>
      <c r="I8" s="64"/>
      <c r="J8" s="65"/>
      <c r="K8" s="64"/>
      <c r="L8" s="65"/>
      <c r="M8" s="64"/>
      <c r="N8" s="65"/>
      <c r="O8" s="64"/>
      <c r="P8" s="65"/>
      <c r="Q8" s="66"/>
      <c r="R8" s="67"/>
      <c r="S8" s="68"/>
      <c r="T8" s="65"/>
      <c r="U8" s="68"/>
      <c r="V8" s="65"/>
      <c r="W8" s="68"/>
      <c r="X8" s="65"/>
      <c r="Y8" s="68"/>
      <c r="Z8" s="65"/>
      <c r="AA8" s="68"/>
      <c r="AB8" s="65"/>
      <c r="AC8" s="68"/>
      <c r="AD8" s="65"/>
      <c r="AE8" s="63"/>
      <c r="AF8" s="63"/>
      <c r="AG8" s="63"/>
      <c r="AH8" s="71"/>
      <c r="AI8" s="70"/>
      <c r="AJ8" s="63"/>
      <c r="AK8" s="63"/>
      <c r="AL8" s="63"/>
      <c r="AM8" s="62"/>
      <c r="AN8" s="62"/>
      <c r="AO8" s="62"/>
    </row>
    <row r="9" spans="1:42" x14ac:dyDescent="0.25">
      <c r="A9" s="62"/>
      <c r="B9" s="62"/>
      <c r="C9" s="62"/>
      <c r="D9" s="62"/>
      <c r="E9" s="62"/>
      <c r="F9" s="63"/>
      <c r="G9" s="63"/>
      <c r="H9" s="63"/>
      <c r="I9" s="64"/>
      <c r="J9" s="65"/>
      <c r="K9" s="64"/>
      <c r="L9" s="65"/>
      <c r="M9" s="64"/>
      <c r="N9" s="65"/>
      <c r="O9" s="64"/>
      <c r="P9" s="65"/>
      <c r="Q9" s="66"/>
      <c r="R9" s="67"/>
      <c r="S9" s="68"/>
      <c r="T9" s="65"/>
      <c r="U9" s="68"/>
      <c r="V9" s="65"/>
      <c r="W9" s="68"/>
      <c r="X9" s="65"/>
      <c r="Y9" s="68"/>
      <c r="Z9" s="65"/>
      <c r="AA9" s="68"/>
      <c r="AB9" s="65"/>
      <c r="AC9" s="68"/>
      <c r="AD9" s="65"/>
      <c r="AE9" s="63"/>
      <c r="AF9" s="63"/>
      <c r="AG9" s="63"/>
      <c r="AH9" s="71"/>
      <c r="AI9" s="70"/>
      <c r="AJ9" s="63"/>
      <c r="AK9" s="63"/>
      <c r="AL9" s="63"/>
      <c r="AM9" s="62"/>
      <c r="AN9" s="62"/>
      <c r="AO9" s="62"/>
    </row>
    <row r="10" spans="1:42" x14ac:dyDescent="0.25">
      <c r="A10" s="62"/>
      <c r="B10" s="62"/>
      <c r="C10" s="62"/>
      <c r="D10" s="62"/>
      <c r="E10" s="62"/>
      <c r="F10" s="63"/>
      <c r="G10" s="63"/>
      <c r="H10" s="63"/>
      <c r="I10" s="64"/>
      <c r="J10" s="65"/>
      <c r="K10" s="64"/>
      <c r="L10" s="65"/>
      <c r="M10" s="64"/>
      <c r="N10" s="65"/>
      <c r="O10" s="64"/>
      <c r="P10" s="65"/>
      <c r="Q10" s="66"/>
      <c r="R10" s="67"/>
      <c r="S10" s="68"/>
      <c r="T10" s="65"/>
      <c r="U10" s="68"/>
      <c r="V10" s="65"/>
      <c r="W10" s="68"/>
      <c r="X10" s="65"/>
      <c r="Y10" s="68"/>
      <c r="Z10" s="65"/>
      <c r="AA10" s="68"/>
      <c r="AB10" s="65"/>
      <c r="AC10" s="68"/>
      <c r="AD10" s="65"/>
      <c r="AE10" s="63"/>
      <c r="AF10" s="63"/>
      <c r="AG10" s="63"/>
      <c r="AH10" s="69"/>
      <c r="AI10" s="70"/>
      <c r="AJ10" s="63"/>
      <c r="AK10" s="63"/>
      <c r="AL10" s="63"/>
      <c r="AM10" s="62"/>
      <c r="AN10" s="62"/>
      <c r="AO10" s="62"/>
    </row>
    <row r="11" spans="1:4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2" x14ac:dyDescent="0.25">
      <c r="A15" s="62"/>
      <c r="B15" s="62"/>
      <c r="C15" s="62"/>
      <c r="D15" s="62"/>
      <c r="E15" s="62"/>
      <c r="F15" s="63"/>
      <c r="G15" s="63"/>
      <c r="H15" s="63"/>
      <c r="I15" s="64"/>
      <c r="J15" s="65"/>
      <c r="K15" s="64"/>
      <c r="L15" s="65"/>
      <c r="M15" s="64"/>
      <c r="N15" s="65"/>
      <c r="O15" s="64"/>
      <c r="P15" s="65"/>
      <c r="Q15" s="66"/>
      <c r="R15" s="67"/>
      <c r="S15" s="68"/>
      <c r="T15" s="65"/>
      <c r="U15" s="68"/>
      <c r="V15" s="65"/>
      <c r="W15" s="68"/>
      <c r="X15" s="65"/>
      <c r="Y15" s="68"/>
      <c r="Z15" s="65"/>
      <c r="AA15" s="68"/>
      <c r="AB15" s="65"/>
      <c r="AC15" s="68"/>
      <c r="AD15" s="65"/>
      <c r="AE15" s="63"/>
      <c r="AF15" s="63"/>
      <c r="AG15" s="63"/>
      <c r="AH15" s="69"/>
      <c r="AI15" s="70"/>
      <c r="AJ15" s="63"/>
      <c r="AK15" s="63"/>
      <c r="AL15" s="63"/>
      <c r="AM15" s="62"/>
      <c r="AN15" s="62"/>
      <c r="AO15" s="62"/>
    </row>
    <row r="16" spans="1:42" x14ac:dyDescent="0.25">
      <c r="A16" s="62"/>
      <c r="B16" s="62"/>
      <c r="C16" s="62"/>
      <c r="D16" s="62"/>
      <c r="E16" s="62"/>
      <c r="F16" s="63"/>
      <c r="G16" s="63"/>
      <c r="H16" s="63"/>
      <c r="I16" s="64"/>
      <c r="J16" s="65"/>
      <c r="K16" s="64"/>
      <c r="L16" s="65"/>
      <c r="M16" s="64"/>
      <c r="N16" s="65"/>
      <c r="O16" s="64"/>
      <c r="P16" s="65"/>
      <c r="Q16" s="66"/>
      <c r="R16" s="67"/>
      <c r="S16" s="68"/>
      <c r="T16" s="65"/>
      <c r="U16" s="68"/>
      <c r="V16" s="65"/>
      <c r="W16" s="68"/>
      <c r="X16" s="65"/>
      <c r="Y16" s="68"/>
      <c r="Z16" s="65"/>
      <c r="AA16" s="68"/>
      <c r="AB16" s="65"/>
      <c r="AC16" s="68"/>
      <c r="AD16" s="65"/>
      <c r="AE16" s="63"/>
      <c r="AF16" s="63"/>
      <c r="AG16" s="68"/>
      <c r="AH16" s="69"/>
      <c r="AI16" s="70"/>
      <c r="AJ16" s="63"/>
      <c r="AK16" s="63"/>
      <c r="AL16" s="63"/>
      <c r="AM16" s="62"/>
      <c r="AN16" s="62"/>
      <c r="AO16" s="62"/>
    </row>
    <row r="17" spans="1:41" x14ac:dyDescent="0.25">
      <c r="A17" s="62"/>
      <c r="B17" s="62"/>
      <c r="C17" s="62"/>
      <c r="D17" s="62"/>
      <c r="E17" s="62"/>
      <c r="F17" s="63"/>
      <c r="G17" s="63"/>
      <c r="H17" s="63"/>
      <c r="I17" s="64"/>
      <c r="J17" s="65"/>
      <c r="K17" s="64"/>
      <c r="L17" s="65"/>
      <c r="M17" s="64"/>
      <c r="N17" s="65"/>
      <c r="O17" s="64"/>
      <c r="P17" s="65"/>
      <c r="Q17" s="66"/>
      <c r="R17" s="67"/>
      <c r="S17" s="68"/>
      <c r="T17" s="65"/>
      <c r="U17" s="68"/>
      <c r="V17" s="65"/>
      <c r="W17" s="68"/>
      <c r="X17" s="65"/>
      <c r="Y17" s="68"/>
      <c r="Z17" s="65"/>
      <c r="AA17" s="68"/>
      <c r="AB17" s="65"/>
      <c r="AC17" s="68"/>
      <c r="AD17" s="65"/>
      <c r="AE17" s="63"/>
      <c r="AF17" s="63"/>
      <c r="AG17" s="63"/>
      <c r="AH17" s="71"/>
      <c r="AI17" s="70"/>
      <c r="AJ17" s="63"/>
      <c r="AK17" s="63"/>
      <c r="AL17" s="63"/>
      <c r="AM17" s="62"/>
      <c r="AN17" s="62"/>
      <c r="AO17" s="62"/>
    </row>
    <row r="18" spans="1:41" x14ac:dyDescent="0.25">
      <c r="A18" s="62"/>
      <c r="B18" s="62"/>
      <c r="C18" s="62"/>
      <c r="D18" s="62"/>
      <c r="E18" s="62"/>
      <c r="F18" s="63"/>
      <c r="G18" s="63"/>
      <c r="H18" s="63"/>
      <c r="I18" s="64"/>
      <c r="J18" s="65"/>
      <c r="K18" s="64"/>
      <c r="L18" s="65"/>
      <c r="M18" s="64"/>
      <c r="N18" s="65"/>
      <c r="O18" s="64"/>
      <c r="P18" s="65"/>
      <c r="Q18" s="66"/>
      <c r="R18" s="67"/>
      <c r="S18" s="68"/>
      <c r="T18" s="65"/>
      <c r="U18" s="68"/>
      <c r="V18" s="65"/>
      <c r="W18" s="68"/>
      <c r="X18" s="65"/>
      <c r="Y18" s="68"/>
      <c r="Z18" s="65"/>
      <c r="AA18" s="68"/>
      <c r="AB18" s="65"/>
      <c r="AC18" s="68"/>
      <c r="AD18" s="65"/>
      <c r="AE18" s="63"/>
      <c r="AF18" s="63"/>
      <c r="AG18" s="63"/>
      <c r="AH18" s="69"/>
      <c r="AI18" s="70"/>
      <c r="AJ18" s="63"/>
      <c r="AK18" s="63"/>
      <c r="AL18" s="63"/>
      <c r="AM18" s="62"/>
      <c r="AN18" s="62"/>
      <c r="AO18" s="62"/>
    </row>
    <row r="19" spans="1:41" x14ac:dyDescent="0.25">
      <c r="A19" s="62"/>
      <c r="B19" s="62"/>
      <c r="C19" s="62"/>
      <c r="D19" s="62"/>
      <c r="E19" s="62"/>
      <c r="F19" s="63"/>
      <c r="G19" s="63"/>
      <c r="H19" s="63"/>
      <c r="I19" s="64"/>
      <c r="J19" s="65"/>
      <c r="K19" s="64"/>
      <c r="L19" s="65"/>
      <c r="M19" s="64"/>
      <c r="N19" s="65"/>
      <c r="O19" s="64"/>
      <c r="P19" s="65"/>
      <c r="Q19" s="66"/>
      <c r="R19" s="67"/>
      <c r="S19" s="68"/>
      <c r="T19" s="65"/>
      <c r="U19" s="68"/>
      <c r="V19" s="65"/>
      <c r="W19" s="68"/>
      <c r="X19" s="65"/>
      <c r="Y19" s="68"/>
      <c r="Z19" s="65"/>
      <c r="AA19" s="68"/>
      <c r="AB19" s="65"/>
      <c r="AC19" s="68"/>
      <c r="AD19" s="65"/>
      <c r="AE19" s="63"/>
      <c r="AF19" s="63"/>
      <c r="AG19" s="63"/>
      <c r="AH19" s="71"/>
      <c r="AI19" s="70"/>
      <c r="AJ19" s="63"/>
      <c r="AK19" s="63"/>
      <c r="AL19" s="63"/>
      <c r="AM19" s="62"/>
      <c r="AN19" s="62"/>
      <c r="AO19" s="62"/>
    </row>
    <row r="20" spans="1:41" x14ac:dyDescent="0.25">
      <c r="A20" s="62"/>
      <c r="B20" s="62"/>
      <c r="C20" s="62"/>
      <c r="D20" s="62"/>
      <c r="E20" s="62"/>
      <c r="F20" s="63"/>
      <c r="G20" s="63"/>
      <c r="H20" s="63"/>
      <c r="I20" s="64"/>
      <c r="J20" s="65"/>
      <c r="K20" s="64"/>
      <c r="L20" s="65"/>
      <c r="M20" s="64"/>
      <c r="N20" s="65"/>
      <c r="O20" s="64"/>
      <c r="P20" s="65"/>
      <c r="Q20" s="66"/>
      <c r="R20" s="67"/>
      <c r="S20" s="68"/>
      <c r="T20" s="65"/>
      <c r="U20" s="68"/>
      <c r="V20" s="65"/>
      <c r="W20" s="68"/>
      <c r="X20" s="65"/>
      <c r="Y20" s="68"/>
      <c r="Z20" s="65"/>
      <c r="AA20" s="68"/>
      <c r="AB20" s="65"/>
      <c r="AC20" s="68"/>
      <c r="AD20" s="65"/>
      <c r="AE20" s="63"/>
      <c r="AF20" s="63"/>
      <c r="AG20" s="63"/>
      <c r="AH20" s="71"/>
      <c r="AI20" s="70"/>
      <c r="AJ20" s="63"/>
      <c r="AK20" s="63"/>
      <c r="AL20" s="63"/>
      <c r="AM20" s="62"/>
      <c r="AN20" s="62"/>
      <c r="AO20" s="62"/>
    </row>
    <row r="21" spans="1:41" x14ac:dyDescent="0.25">
      <c r="A21" s="62"/>
      <c r="B21" s="62"/>
      <c r="C21" s="62"/>
      <c r="D21" s="62"/>
      <c r="E21" s="62"/>
      <c r="F21" s="63"/>
      <c r="G21" s="63"/>
      <c r="H21" s="63"/>
      <c r="I21" s="64"/>
      <c r="J21" s="65"/>
      <c r="K21" s="64"/>
      <c r="L21" s="65"/>
      <c r="M21" s="64"/>
      <c r="N21" s="65"/>
      <c r="O21" s="64"/>
      <c r="P21" s="65"/>
      <c r="Q21" s="66"/>
      <c r="R21" s="67"/>
      <c r="S21" s="68"/>
      <c r="T21" s="65"/>
      <c r="U21" s="68"/>
      <c r="V21" s="65"/>
      <c r="W21" s="68"/>
      <c r="X21" s="65"/>
      <c r="Y21" s="68"/>
      <c r="Z21" s="65"/>
      <c r="AA21" s="68"/>
      <c r="AB21" s="65"/>
      <c r="AC21" s="68"/>
      <c r="AD21" s="65"/>
      <c r="AE21" s="63"/>
      <c r="AF21" s="63"/>
      <c r="AG21" s="63"/>
      <c r="AH21" s="69"/>
      <c r="AI21" s="70"/>
      <c r="AJ21" s="63"/>
      <c r="AK21" s="63"/>
      <c r="AL21" s="63"/>
      <c r="AM21" s="62"/>
      <c r="AN21" s="62"/>
      <c r="AO21" s="62"/>
    </row>
    <row r="22" spans="1:4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cols>
    <col min="1" max="1" width="11.42578125" style="53"/>
  </cols>
  <sheetData>
    <row r="1" spans="1:42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253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940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24" x14ac:dyDescent="0.25">
      <c r="A3" s="941"/>
      <c r="B3" s="678"/>
      <c r="C3" s="678"/>
      <c r="D3" s="678"/>
      <c r="E3" s="678"/>
      <c r="F3" s="678"/>
      <c r="G3" s="678"/>
      <c r="H3" s="678"/>
      <c r="I3" s="680"/>
      <c r="J3" s="256" t="s">
        <v>21</v>
      </c>
      <c r="K3" s="254" t="s">
        <v>22</v>
      </c>
      <c r="L3" s="254" t="s">
        <v>21</v>
      </c>
      <c r="M3" s="254" t="s">
        <v>22</v>
      </c>
      <c r="N3" s="254" t="s">
        <v>21</v>
      </c>
      <c r="O3" s="254" t="s">
        <v>22</v>
      </c>
      <c r="P3" s="254" t="s">
        <v>21</v>
      </c>
      <c r="Q3" s="254" t="s">
        <v>22</v>
      </c>
      <c r="R3" s="669"/>
      <c r="S3" s="667"/>
      <c r="T3" s="256" t="s">
        <v>23</v>
      </c>
      <c r="U3" s="254" t="s">
        <v>22</v>
      </c>
      <c r="V3" s="254" t="s">
        <v>23</v>
      </c>
      <c r="W3" s="254" t="s">
        <v>22</v>
      </c>
      <c r="X3" s="254" t="s">
        <v>23</v>
      </c>
      <c r="Y3" s="254" t="s">
        <v>22</v>
      </c>
      <c r="Z3" s="254" t="s">
        <v>23</v>
      </c>
      <c r="AA3" s="255" t="s">
        <v>22</v>
      </c>
      <c r="AB3" s="256" t="s">
        <v>23</v>
      </c>
      <c r="AC3" s="254" t="s">
        <v>22</v>
      </c>
      <c r="AD3" s="254" t="s">
        <v>23</v>
      </c>
      <c r="AE3" s="254" t="s">
        <v>22</v>
      </c>
      <c r="AF3" s="254" t="s">
        <v>24</v>
      </c>
      <c r="AG3" s="254" t="s">
        <v>23</v>
      </c>
      <c r="AH3" s="254" t="s">
        <v>22</v>
      </c>
      <c r="AI3" s="59" t="s">
        <v>23</v>
      </c>
      <c r="AJ3" s="59" t="s">
        <v>22</v>
      </c>
      <c r="AK3" s="257" t="s">
        <v>23</v>
      </c>
      <c r="AL3" s="254" t="s">
        <v>22</v>
      </c>
      <c r="AM3" s="79" t="s">
        <v>25</v>
      </c>
      <c r="AN3" s="252" t="s">
        <v>109</v>
      </c>
      <c r="AO3" s="252" t="s">
        <v>113</v>
      </c>
      <c r="AP3" s="252" t="s">
        <v>111</v>
      </c>
    </row>
    <row r="4" spans="1:42" x14ac:dyDescent="0.25">
      <c r="A4" s="62"/>
      <c r="B4" s="62"/>
      <c r="C4" s="62"/>
      <c r="D4" s="62"/>
      <c r="E4" s="62"/>
      <c r="F4" s="62"/>
      <c r="G4" s="63"/>
      <c r="H4" s="63"/>
      <c r="I4" s="63"/>
      <c r="J4" s="64"/>
      <c r="K4" s="65"/>
      <c r="L4" s="64"/>
      <c r="M4" s="65"/>
      <c r="N4" s="64"/>
      <c r="O4" s="65"/>
      <c r="P4" s="64"/>
      <c r="Q4" s="65"/>
      <c r="R4" s="66"/>
      <c r="S4" s="67"/>
      <c r="T4" s="68"/>
      <c r="U4" s="65"/>
      <c r="V4" s="68"/>
      <c r="W4" s="65"/>
      <c r="X4" s="68"/>
      <c r="Y4" s="65"/>
      <c r="Z4" s="68"/>
      <c r="AA4" s="65"/>
      <c r="AB4" s="68"/>
      <c r="AC4" s="65"/>
      <c r="AD4" s="68"/>
      <c r="AE4" s="65"/>
      <c r="AF4" s="63"/>
      <c r="AG4" s="63"/>
      <c r="AH4" s="63"/>
      <c r="AI4" s="69"/>
      <c r="AJ4" s="70"/>
      <c r="AK4" s="63"/>
      <c r="AL4" s="63"/>
      <c r="AM4" s="63"/>
      <c r="AN4" s="62"/>
      <c r="AO4" s="62"/>
      <c r="AP4" s="62"/>
    </row>
    <row r="5" spans="1:42" x14ac:dyDescent="0.25">
      <c r="A5" s="62"/>
      <c r="B5" s="62"/>
      <c r="C5" s="62"/>
      <c r="D5" s="62"/>
      <c r="E5" s="62"/>
      <c r="F5" s="62"/>
      <c r="G5" s="63"/>
      <c r="H5" s="63"/>
      <c r="I5" s="63"/>
      <c r="J5" s="64"/>
      <c r="K5" s="65"/>
      <c r="L5" s="64"/>
      <c r="M5" s="65"/>
      <c r="N5" s="64"/>
      <c r="O5" s="65"/>
      <c r="P5" s="64"/>
      <c r="Q5" s="65"/>
      <c r="R5" s="66"/>
      <c r="S5" s="67"/>
      <c r="T5" s="68"/>
      <c r="U5" s="65"/>
      <c r="V5" s="68"/>
      <c r="W5" s="65"/>
      <c r="X5" s="68"/>
      <c r="Y5" s="65"/>
      <c r="Z5" s="68"/>
      <c r="AA5" s="65"/>
      <c r="AB5" s="68"/>
      <c r="AC5" s="65"/>
      <c r="AD5" s="68"/>
      <c r="AE5" s="65"/>
      <c r="AF5" s="63"/>
      <c r="AG5" s="63"/>
      <c r="AH5" s="68"/>
      <c r="AI5" s="69"/>
      <c r="AJ5" s="70"/>
      <c r="AK5" s="63"/>
      <c r="AL5" s="63"/>
      <c r="AM5" s="63"/>
      <c r="AN5" s="62"/>
      <c r="AO5" s="62"/>
      <c r="AP5" s="62"/>
    </row>
    <row r="6" spans="1:42" x14ac:dyDescent="0.25">
      <c r="A6" s="62"/>
      <c r="B6" s="62"/>
      <c r="C6" s="62"/>
      <c r="D6" s="62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  <c r="P6" s="64"/>
      <c r="Q6" s="65"/>
      <c r="R6" s="66"/>
      <c r="S6" s="67"/>
      <c r="T6" s="68"/>
      <c r="U6" s="65"/>
      <c r="V6" s="68"/>
      <c r="W6" s="65"/>
      <c r="X6" s="68"/>
      <c r="Y6" s="65"/>
      <c r="Z6" s="68"/>
      <c r="AA6" s="65"/>
      <c r="AB6" s="68"/>
      <c r="AC6" s="65"/>
      <c r="AD6" s="68"/>
      <c r="AE6" s="65"/>
      <c r="AF6" s="63"/>
      <c r="AG6" s="63"/>
      <c r="AH6" s="63"/>
      <c r="AI6" s="71"/>
      <c r="AJ6" s="70"/>
      <c r="AK6" s="63"/>
      <c r="AL6" s="63"/>
      <c r="AM6" s="63"/>
      <c r="AN6" s="62"/>
      <c r="AO6" s="62"/>
      <c r="AP6" s="62"/>
    </row>
    <row r="7" spans="1:42" x14ac:dyDescent="0.25">
      <c r="A7" s="62"/>
      <c r="B7" s="62"/>
      <c r="C7" s="62"/>
      <c r="D7" s="62"/>
      <c r="E7" s="62"/>
      <c r="F7" s="62"/>
      <c r="G7" s="63"/>
      <c r="H7" s="63"/>
      <c r="I7" s="63"/>
      <c r="J7" s="64"/>
      <c r="K7" s="65"/>
      <c r="L7" s="64"/>
      <c r="M7" s="65"/>
      <c r="N7" s="64"/>
      <c r="O7" s="65"/>
      <c r="P7" s="64"/>
      <c r="Q7" s="65"/>
      <c r="R7" s="66"/>
      <c r="S7" s="67"/>
      <c r="T7" s="68"/>
      <c r="U7" s="65"/>
      <c r="V7" s="68"/>
      <c r="W7" s="65"/>
      <c r="X7" s="68"/>
      <c r="Y7" s="65"/>
      <c r="Z7" s="68"/>
      <c r="AA7" s="65"/>
      <c r="AB7" s="68"/>
      <c r="AC7" s="65"/>
      <c r="AD7" s="68"/>
      <c r="AE7" s="65"/>
      <c r="AF7" s="63"/>
      <c r="AG7" s="63"/>
      <c r="AH7" s="63"/>
      <c r="AI7" s="69"/>
      <c r="AJ7" s="70"/>
      <c r="AK7" s="63"/>
      <c r="AL7" s="63"/>
      <c r="AM7" s="63"/>
      <c r="AN7" s="62"/>
      <c r="AO7" s="62"/>
      <c r="AP7" s="62"/>
    </row>
    <row r="8" spans="1:42" x14ac:dyDescent="0.25">
      <c r="A8" s="62"/>
      <c r="B8" s="62"/>
      <c r="C8" s="62"/>
      <c r="D8" s="62"/>
      <c r="E8" s="62"/>
      <c r="F8" s="62"/>
      <c r="G8" s="63"/>
      <c r="H8" s="63"/>
      <c r="I8" s="63"/>
      <c r="J8" s="64"/>
      <c r="K8" s="65"/>
      <c r="L8" s="64"/>
      <c r="M8" s="65"/>
      <c r="N8" s="64"/>
      <c r="O8" s="65"/>
      <c r="P8" s="64"/>
      <c r="Q8" s="65"/>
      <c r="R8" s="66"/>
      <c r="S8" s="67"/>
      <c r="T8" s="68"/>
      <c r="U8" s="65"/>
      <c r="V8" s="68"/>
      <c r="W8" s="65"/>
      <c r="X8" s="68"/>
      <c r="Y8" s="65"/>
      <c r="Z8" s="68"/>
      <c r="AA8" s="65"/>
      <c r="AB8" s="68"/>
      <c r="AC8" s="65"/>
      <c r="AD8" s="68"/>
      <c r="AE8" s="65"/>
      <c r="AF8" s="63"/>
      <c r="AG8" s="63"/>
      <c r="AH8" s="63"/>
      <c r="AI8" s="71"/>
      <c r="AJ8" s="70"/>
      <c r="AK8" s="63"/>
      <c r="AL8" s="63"/>
      <c r="AM8" s="63"/>
      <c r="AN8" s="62"/>
      <c r="AO8" s="62"/>
      <c r="AP8" s="62"/>
    </row>
    <row r="9" spans="1:42" x14ac:dyDescent="0.25">
      <c r="A9" s="62"/>
      <c r="B9" s="62"/>
      <c r="C9" s="62"/>
      <c r="D9" s="62"/>
      <c r="E9" s="62"/>
      <c r="F9" s="62"/>
      <c r="G9" s="63"/>
      <c r="H9" s="63"/>
      <c r="I9" s="63"/>
      <c r="J9" s="64"/>
      <c r="K9" s="65"/>
      <c r="L9" s="64"/>
      <c r="M9" s="65"/>
      <c r="N9" s="64"/>
      <c r="O9" s="65"/>
      <c r="P9" s="64"/>
      <c r="Q9" s="65"/>
      <c r="R9" s="66"/>
      <c r="S9" s="67"/>
      <c r="T9" s="68"/>
      <c r="U9" s="65"/>
      <c r="V9" s="68"/>
      <c r="W9" s="65"/>
      <c r="X9" s="68"/>
      <c r="Y9" s="65"/>
      <c r="Z9" s="68"/>
      <c r="AA9" s="65"/>
      <c r="AB9" s="68"/>
      <c r="AC9" s="65"/>
      <c r="AD9" s="68"/>
      <c r="AE9" s="65"/>
      <c r="AF9" s="63"/>
      <c r="AG9" s="63"/>
      <c r="AH9" s="63"/>
      <c r="AI9" s="71"/>
      <c r="AJ9" s="70"/>
      <c r="AK9" s="63"/>
      <c r="AL9" s="63"/>
      <c r="AM9" s="63"/>
      <c r="AN9" s="62"/>
      <c r="AO9" s="62"/>
      <c r="AP9" s="62"/>
    </row>
    <row r="10" spans="1:42" x14ac:dyDescent="0.25">
      <c r="A10" s="62"/>
      <c r="B10" s="62"/>
      <c r="C10" s="62"/>
      <c r="D10" s="62"/>
      <c r="E10" s="62"/>
      <c r="F10" s="62"/>
      <c r="G10" s="63"/>
      <c r="H10" s="63"/>
      <c r="I10" s="63"/>
      <c r="J10" s="64"/>
      <c r="K10" s="65"/>
      <c r="L10" s="64"/>
      <c r="M10" s="65"/>
      <c r="N10" s="64"/>
      <c r="O10" s="65"/>
      <c r="P10" s="64"/>
      <c r="Q10" s="65"/>
      <c r="R10" s="66"/>
      <c r="S10" s="67"/>
      <c r="T10" s="68"/>
      <c r="U10" s="65"/>
      <c r="V10" s="68"/>
      <c r="W10" s="65"/>
      <c r="X10" s="68"/>
      <c r="Y10" s="65"/>
      <c r="Z10" s="68"/>
      <c r="AA10" s="65"/>
      <c r="AB10" s="68"/>
      <c r="AC10" s="65"/>
      <c r="AD10" s="68"/>
      <c r="AE10" s="65"/>
      <c r="AF10" s="63"/>
      <c r="AG10" s="63"/>
      <c r="AH10" s="63"/>
      <c r="AI10" s="69"/>
      <c r="AJ10" s="70"/>
      <c r="AK10" s="63"/>
      <c r="AL10" s="63"/>
      <c r="AM10" s="63"/>
      <c r="AN10" s="62"/>
      <c r="AO10" s="62"/>
      <c r="AP10" s="62"/>
    </row>
    <row r="11" spans="1:4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x14ac:dyDescent="0.25">
      <c r="A15" s="62"/>
      <c r="B15" s="62"/>
      <c r="C15" s="62"/>
      <c r="D15" s="62"/>
      <c r="E15" s="62"/>
      <c r="F15" s="62"/>
      <c r="G15" s="63"/>
      <c r="H15" s="63"/>
      <c r="I15" s="63"/>
      <c r="J15" s="64"/>
      <c r="K15" s="65"/>
      <c r="L15" s="64"/>
      <c r="M15" s="65"/>
      <c r="N15" s="64"/>
      <c r="O15" s="65"/>
      <c r="P15" s="64"/>
      <c r="Q15" s="65"/>
      <c r="R15" s="66"/>
      <c r="S15" s="67"/>
      <c r="T15" s="68"/>
      <c r="U15" s="65"/>
      <c r="V15" s="68"/>
      <c r="W15" s="65"/>
      <c r="X15" s="68"/>
      <c r="Y15" s="65"/>
      <c r="Z15" s="68"/>
      <c r="AA15" s="65"/>
      <c r="AB15" s="68"/>
      <c r="AC15" s="65"/>
      <c r="AD15" s="68"/>
      <c r="AE15" s="65"/>
      <c r="AF15" s="63"/>
      <c r="AG15" s="63"/>
      <c r="AH15" s="63"/>
      <c r="AI15" s="69"/>
      <c r="AJ15" s="70"/>
      <c r="AK15" s="63"/>
      <c r="AL15" s="63"/>
      <c r="AM15" s="63"/>
      <c r="AN15" s="62"/>
      <c r="AO15" s="62"/>
      <c r="AP15" s="62"/>
    </row>
    <row r="16" spans="1:42" x14ac:dyDescent="0.25">
      <c r="A16" s="62"/>
      <c r="B16" s="62"/>
      <c r="C16" s="62"/>
      <c r="D16" s="62"/>
      <c r="E16" s="62"/>
      <c r="F16" s="62"/>
      <c r="G16" s="63"/>
      <c r="H16" s="63"/>
      <c r="I16" s="63"/>
      <c r="J16" s="64"/>
      <c r="K16" s="65"/>
      <c r="L16" s="64"/>
      <c r="M16" s="65"/>
      <c r="N16" s="64"/>
      <c r="O16" s="65"/>
      <c r="P16" s="64"/>
      <c r="Q16" s="65"/>
      <c r="R16" s="66"/>
      <c r="S16" s="67"/>
      <c r="T16" s="68"/>
      <c r="U16" s="65"/>
      <c r="V16" s="68"/>
      <c r="W16" s="65"/>
      <c r="X16" s="68"/>
      <c r="Y16" s="65"/>
      <c r="Z16" s="68"/>
      <c r="AA16" s="65"/>
      <c r="AB16" s="68"/>
      <c r="AC16" s="65"/>
      <c r="AD16" s="68"/>
      <c r="AE16" s="65"/>
      <c r="AF16" s="63"/>
      <c r="AG16" s="63"/>
      <c r="AH16" s="68"/>
      <c r="AI16" s="69"/>
      <c r="AJ16" s="70"/>
      <c r="AK16" s="63"/>
      <c r="AL16" s="63"/>
      <c r="AM16" s="63"/>
      <c r="AN16" s="62"/>
      <c r="AO16" s="62"/>
      <c r="AP16" s="62"/>
    </row>
    <row r="17" spans="1:42" x14ac:dyDescent="0.25">
      <c r="A17" s="62"/>
      <c r="B17" s="62"/>
      <c r="C17" s="62"/>
      <c r="D17" s="62"/>
      <c r="E17" s="62"/>
      <c r="F17" s="62"/>
      <c r="G17" s="63"/>
      <c r="H17" s="63"/>
      <c r="I17" s="63"/>
      <c r="J17" s="64"/>
      <c r="K17" s="65"/>
      <c r="L17" s="64"/>
      <c r="M17" s="65"/>
      <c r="N17" s="64"/>
      <c r="O17" s="65"/>
      <c r="P17" s="64"/>
      <c r="Q17" s="65"/>
      <c r="R17" s="66"/>
      <c r="S17" s="67"/>
      <c r="T17" s="68"/>
      <c r="U17" s="65"/>
      <c r="V17" s="68"/>
      <c r="W17" s="65"/>
      <c r="X17" s="68"/>
      <c r="Y17" s="65"/>
      <c r="Z17" s="68"/>
      <c r="AA17" s="65"/>
      <c r="AB17" s="68"/>
      <c r="AC17" s="65"/>
      <c r="AD17" s="68"/>
      <c r="AE17" s="65"/>
      <c r="AF17" s="63"/>
      <c r="AG17" s="63"/>
      <c r="AH17" s="63"/>
      <c r="AI17" s="71"/>
      <c r="AJ17" s="70"/>
      <c r="AK17" s="63"/>
      <c r="AL17" s="63"/>
      <c r="AM17" s="63"/>
      <c r="AN17" s="62"/>
      <c r="AO17" s="62"/>
      <c r="AP17" s="62"/>
    </row>
    <row r="18" spans="1:42" x14ac:dyDescent="0.25">
      <c r="A18" s="62"/>
      <c r="B18" s="62"/>
      <c r="C18" s="62"/>
      <c r="D18" s="62"/>
      <c r="E18" s="62"/>
      <c r="F18" s="62"/>
      <c r="G18" s="63"/>
      <c r="H18" s="63"/>
      <c r="I18" s="63"/>
      <c r="J18" s="64"/>
      <c r="K18" s="65"/>
      <c r="L18" s="64"/>
      <c r="M18" s="65"/>
      <c r="N18" s="64"/>
      <c r="O18" s="65"/>
      <c r="P18" s="64"/>
      <c r="Q18" s="65"/>
      <c r="R18" s="66"/>
      <c r="S18" s="67"/>
      <c r="T18" s="68"/>
      <c r="U18" s="65"/>
      <c r="V18" s="68"/>
      <c r="W18" s="65"/>
      <c r="X18" s="68"/>
      <c r="Y18" s="65"/>
      <c r="Z18" s="68"/>
      <c r="AA18" s="65"/>
      <c r="AB18" s="68"/>
      <c r="AC18" s="65"/>
      <c r="AD18" s="68"/>
      <c r="AE18" s="65"/>
      <c r="AF18" s="63"/>
      <c r="AG18" s="63"/>
      <c r="AH18" s="63"/>
      <c r="AI18" s="69"/>
      <c r="AJ18" s="70"/>
      <c r="AK18" s="63"/>
      <c r="AL18" s="63"/>
      <c r="AM18" s="63"/>
      <c r="AN18" s="62"/>
      <c r="AO18" s="62"/>
      <c r="AP18" s="62"/>
    </row>
    <row r="19" spans="1:42" x14ac:dyDescent="0.25">
      <c r="A19" s="62"/>
      <c r="B19" s="62"/>
      <c r="C19" s="62"/>
      <c r="D19" s="62"/>
      <c r="E19" s="62"/>
      <c r="F19" s="62"/>
      <c r="G19" s="63"/>
      <c r="H19" s="63"/>
      <c r="I19" s="63"/>
      <c r="J19" s="64"/>
      <c r="K19" s="65"/>
      <c r="L19" s="64"/>
      <c r="M19" s="65"/>
      <c r="N19" s="64"/>
      <c r="O19" s="65"/>
      <c r="P19" s="64"/>
      <c r="Q19" s="65"/>
      <c r="R19" s="66"/>
      <c r="S19" s="67"/>
      <c r="T19" s="68"/>
      <c r="U19" s="65"/>
      <c r="V19" s="68"/>
      <c r="W19" s="65"/>
      <c r="X19" s="68"/>
      <c r="Y19" s="65"/>
      <c r="Z19" s="68"/>
      <c r="AA19" s="65"/>
      <c r="AB19" s="68"/>
      <c r="AC19" s="65"/>
      <c r="AD19" s="68"/>
      <c r="AE19" s="65"/>
      <c r="AF19" s="63"/>
      <c r="AG19" s="63"/>
      <c r="AH19" s="63"/>
      <c r="AI19" s="71"/>
      <c r="AJ19" s="70"/>
      <c r="AK19" s="63"/>
      <c r="AL19" s="63"/>
      <c r="AM19" s="63"/>
      <c r="AN19" s="62"/>
      <c r="AO19" s="62"/>
      <c r="AP19" s="62"/>
    </row>
    <row r="20" spans="1:42" x14ac:dyDescent="0.25">
      <c r="A20" s="62"/>
      <c r="B20" s="62"/>
      <c r="C20" s="62"/>
      <c r="D20" s="62"/>
      <c r="E20" s="62"/>
      <c r="F20" s="62"/>
      <c r="G20" s="63"/>
      <c r="H20" s="63"/>
      <c r="I20" s="63"/>
      <c r="J20" s="64"/>
      <c r="K20" s="65"/>
      <c r="L20" s="64"/>
      <c r="M20" s="65"/>
      <c r="N20" s="64"/>
      <c r="O20" s="65"/>
      <c r="P20" s="64"/>
      <c r="Q20" s="65"/>
      <c r="R20" s="66"/>
      <c r="S20" s="67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3"/>
      <c r="AG20" s="63"/>
      <c r="AH20" s="63"/>
      <c r="AI20" s="71"/>
      <c r="AJ20" s="70"/>
      <c r="AK20" s="63"/>
      <c r="AL20" s="63"/>
      <c r="AM20" s="63"/>
      <c r="AN20" s="62"/>
      <c r="AO20" s="62"/>
      <c r="AP20" s="62"/>
    </row>
    <row r="21" spans="1:42" x14ac:dyDescent="0.25">
      <c r="A21" s="62"/>
      <c r="B21" s="62"/>
      <c r="C21" s="62"/>
      <c r="D21" s="62"/>
      <c r="E21" s="62"/>
      <c r="F21" s="62"/>
      <c r="G21" s="63"/>
      <c r="H21" s="63"/>
      <c r="I21" s="63"/>
      <c r="J21" s="64"/>
      <c r="K21" s="65"/>
      <c r="L21" s="64"/>
      <c r="M21" s="65"/>
      <c r="N21" s="64"/>
      <c r="O21" s="65"/>
      <c r="P21" s="64"/>
      <c r="Q21" s="65"/>
      <c r="R21" s="66"/>
      <c r="S21" s="67"/>
      <c r="T21" s="68"/>
      <c r="U21" s="65"/>
      <c r="V21" s="68"/>
      <c r="W21" s="65"/>
      <c r="X21" s="68"/>
      <c r="Y21" s="65"/>
      <c r="Z21" s="68"/>
      <c r="AA21" s="65"/>
      <c r="AB21" s="68"/>
      <c r="AC21" s="65"/>
      <c r="AD21" s="68"/>
      <c r="AE21" s="65"/>
      <c r="AF21" s="63"/>
      <c r="AG21" s="63"/>
      <c r="AH21" s="63"/>
      <c r="AI21" s="69"/>
      <c r="AJ21" s="70"/>
      <c r="AK21" s="63"/>
      <c r="AL21" s="63"/>
      <c r="AM21" s="63"/>
      <c r="AN21" s="62"/>
      <c r="AO21" s="62"/>
      <c r="AP21" s="62"/>
    </row>
    <row r="22" spans="1:4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A25"/>
    </sheetView>
  </sheetViews>
  <sheetFormatPr baseColWidth="10" defaultRowHeight="15" x14ac:dyDescent="0.25"/>
  <cols>
    <col min="1" max="1" width="11.42578125" style="53"/>
  </cols>
  <sheetData>
    <row r="1" spans="1:42" x14ac:dyDescent="0.25">
      <c r="A1" s="939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253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940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24" x14ac:dyDescent="0.25">
      <c r="A3" s="941"/>
      <c r="B3" s="678"/>
      <c r="C3" s="678"/>
      <c r="D3" s="678"/>
      <c r="E3" s="678"/>
      <c r="F3" s="678"/>
      <c r="G3" s="678"/>
      <c r="H3" s="678"/>
      <c r="I3" s="680"/>
      <c r="J3" s="256" t="s">
        <v>21</v>
      </c>
      <c r="K3" s="254" t="s">
        <v>22</v>
      </c>
      <c r="L3" s="254" t="s">
        <v>21</v>
      </c>
      <c r="M3" s="254" t="s">
        <v>22</v>
      </c>
      <c r="N3" s="254" t="s">
        <v>21</v>
      </c>
      <c r="O3" s="254" t="s">
        <v>22</v>
      </c>
      <c r="P3" s="254" t="s">
        <v>21</v>
      </c>
      <c r="Q3" s="254" t="s">
        <v>22</v>
      </c>
      <c r="R3" s="669"/>
      <c r="S3" s="667"/>
      <c r="T3" s="256" t="s">
        <v>23</v>
      </c>
      <c r="U3" s="254" t="s">
        <v>22</v>
      </c>
      <c r="V3" s="254" t="s">
        <v>23</v>
      </c>
      <c r="W3" s="254" t="s">
        <v>22</v>
      </c>
      <c r="X3" s="254" t="s">
        <v>23</v>
      </c>
      <c r="Y3" s="254" t="s">
        <v>22</v>
      </c>
      <c r="Z3" s="254" t="s">
        <v>23</v>
      </c>
      <c r="AA3" s="255" t="s">
        <v>22</v>
      </c>
      <c r="AB3" s="256" t="s">
        <v>23</v>
      </c>
      <c r="AC3" s="254" t="s">
        <v>22</v>
      </c>
      <c r="AD3" s="254" t="s">
        <v>23</v>
      </c>
      <c r="AE3" s="254" t="s">
        <v>22</v>
      </c>
      <c r="AF3" s="254" t="s">
        <v>24</v>
      </c>
      <c r="AG3" s="254" t="s">
        <v>23</v>
      </c>
      <c r="AH3" s="254" t="s">
        <v>22</v>
      </c>
      <c r="AI3" s="59" t="s">
        <v>23</v>
      </c>
      <c r="AJ3" s="59" t="s">
        <v>22</v>
      </c>
      <c r="AK3" s="257" t="s">
        <v>23</v>
      </c>
      <c r="AL3" s="254" t="s">
        <v>22</v>
      </c>
      <c r="AM3" s="79" t="s">
        <v>25</v>
      </c>
      <c r="AN3" s="252" t="s">
        <v>109</v>
      </c>
      <c r="AO3" s="252" t="s">
        <v>113</v>
      </c>
      <c r="AP3" s="252" t="s">
        <v>111</v>
      </c>
    </row>
    <row r="4" spans="1:42" x14ac:dyDescent="0.25">
      <c r="A4" s="62"/>
      <c r="B4" s="62"/>
      <c r="C4" s="62"/>
      <c r="D4" s="62"/>
      <c r="E4" s="62"/>
      <c r="F4" s="62"/>
      <c r="G4" s="63"/>
      <c r="H4" s="63"/>
      <c r="I4" s="63"/>
      <c r="J4" s="64"/>
      <c r="K4" s="65"/>
      <c r="L4" s="64"/>
      <c r="M4" s="65"/>
      <c r="N4" s="64"/>
      <c r="O4" s="65"/>
      <c r="P4" s="64"/>
      <c r="Q4" s="65"/>
      <c r="R4" s="66"/>
      <c r="S4" s="67"/>
      <c r="T4" s="68"/>
      <c r="U4" s="65"/>
      <c r="V4" s="68"/>
      <c r="W4" s="65"/>
      <c r="X4" s="68"/>
      <c r="Y4" s="65"/>
      <c r="Z4" s="68"/>
      <c r="AA4" s="65"/>
      <c r="AB4" s="68"/>
      <c r="AC4" s="65"/>
      <c r="AD4" s="68"/>
      <c r="AE4" s="65"/>
      <c r="AF4" s="63"/>
      <c r="AG4" s="63"/>
      <c r="AH4" s="63"/>
      <c r="AI4" s="69"/>
      <c r="AJ4" s="70"/>
      <c r="AK4" s="63"/>
      <c r="AL4" s="63"/>
      <c r="AM4" s="63"/>
      <c r="AN4" s="62"/>
      <c r="AO4" s="62"/>
      <c r="AP4" s="62"/>
    </row>
    <row r="5" spans="1:42" x14ac:dyDescent="0.25">
      <c r="A5" s="62"/>
      <c r="B5" s="62"/>
      <c r="C5" s="62"/>
      <c r="D5" s="62"/>
      <c r="E5" s="62"/>
      <c r="F5" s="62"/>
      <c r="G5" s="63"/>
      <c r="H5" s="63"/>
      <c r="I5" s="63"/>
      <c r="J5" s="64"/>
      <c r="K5" s="65"/>
      <c r="L5" s="64"/>
      <c r="M5" s="65"/>
      <c r="N5" s="64"/>
      <c r="O5" s="65"/>
      <c r="P5" s="64"/>
      <c r="Q5" s="65"/>
      <c r="R5" s="66"/>
      <c r="S5" s="67"/>
      <c r="T5" s="68"/>
      <c r="U5" s="65"/>
      <c r="V5" s="68"/>
      <c r="W5" s="65"/>
      <c r="X5" s="68"/>
      <c r="Y5" s="65"/>
      <c r="Z5" s="68"/>
      <c r="AA5" s="65"/>
      <c r="AB5" s="68"/>
      <c r="AC5" s="65"/>
      <c r="AD5" s="68"/>
      <c r="AE5" s="65"/>
      <c r="AF5" s="63"/>
      <c r="AG5" s="63"/>
      <c r="AH5" s="68"/>
      <c r="AI5" s="69"/>
      <c r="AJ5" s="70"/>
      <c r="AK5" s="63"/>
      <c r="AL5" s="63"/>
      <c r="AM5" s="63"/>
      <c r="AN5" s="62"/>
      <c r="AO5" s="62"/>
      <c r="AP5" s="62"/>
    </row>
    <row r="6" spans="1:42" x14ac:dyDescent="0.25">
      <c r="A6" s="62"/>
      <c r="B6" s="62"/>
      <c r="C6" s="62"/>
      <c r="D6" s="62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  <c r="P6" s="64"/>
      <c r="Q6" s="65"/>
      <c r="R6" s="66"/>
      <c r="S6" s="67"/>
      <c r="T6" s="68"/>
      <c r="U6" s="65"/>
      <c r="V6" s="68"/>
      <c r="W6" s="65"/>
      <c r="X6" s="68"/>
      <c r="Y6" s="65"/>
      <c r="Z6" s="68"/>
      <c r="AA6" s="65"/>
      <c r="AB6" s="68"/>
      <c r="AC6" s="65"/>
      <c r="AD6" s="68"/>
      <c r="AE6" s="65"/>
      <c r="AF6" s="63"/>
      <c r="AG6" s="63"/>
      <c r="AH6" s="63"/>
      <c r="AI6" s="71"/>
      <c r="AJ6" s="70"/>
      <c r="AK6" s="63"/>
      <c r="AL6" s="63"/>
      <c r="AM6" s="63"/>
      <c r="AN6" s="62"/>
      <c r="AO6" s="62"/>
      <c r="AP6" s="62"/>
    </row>
    <row r="7" spans="1:42" x14ac:dyDescent="0.25">
      <c r="A7" s="62"/>
      <c r="B7" s="62"/>
      <c r="C7" s="62"/>
      <c r="D7" s="62"/>
      <c r="E7" s="62"/>
      <c r="F7" s="62"/>
      <c r="G7" s="63"/>
      <c r="H7" s="63"/>
      <c r="I7" s="63"/>
      <c r="J7" s="64"/>
      <c r="K7" s="65"/>
      <c r="L7" s="64"/>
      <c r="M7" s="65"/>
      <c r="N7" s="64"/>
      <c r="O7" s="65"/>
      <c r="P7" s="64"/>
      <c r="Q7" s="65"/>
      <c r="R7" s="66"/>
      <c r="S7" s="67"/>
      <c r="T7" s="68"/>
      <c r="U7" s="65"/>
      <c r="V7" s="68"/>
      <c r="W7" s="65"/>
      <c r="X7" s="68"/>
      <c r="Y7" s="65"/>
      <c r="Z7" s="68"/>
      <c r="AA7" s="65"/>
      <c r="AB7" s="68"/>
      <c r="AC7" s="65"/>
      <c r="AD7" s="68"/>
      <c r="AE7" s="65"/>
      <c r="AF7" s="63"/>
      <c r="AG7" s="63"/>
      <c r="AH7" s="63"/>
      <c r="AI7" s="69"/>
      <c r="AJ7" s="70"/>
      <c r="AK7" s="63"/>
      <c r="AL7" s="63"/>
      <c r="AM7" s="63"/>
      <c r="AN7" s="62"/>
      <c r="AO7" s="62"/>
      <c r="AP7" s="62"/>
    </row>
    <row r="8" spans="1:42" x14ac:dyDescent="0.25">
      <c r="A8" s="62"/>
      <c r="B8" s="62"/>
      <c r="C8" s="62"/>
      <c r="D8" s="62"/>
      <c r="E8" s="62"/>
      <c r="F8" s="62"/>
      <c r="G8" s="63"/>
      <c r="H8" s="63"/>
      <c r="I8" s="63"/>
      <c r="J8" s="64"/>
      <c r="K8" s="65"/>
      <c r="L8" s="64"/>
      <c r="M8" s="65"/>
      <c r="N8" s="64"/>
      <c r="O8" s="65"/>
      <c r="P8" s="64"/>
      <c r="Q8" s="65"/>
      <c r="R8" s="66"/>
      <c r="S8" s="67"/>
      <c r="T8" s="68"/>
      <c r="U8" s="65"/>
      <c r="V8" s="68"/>
      <c r="W8" s="65"/>
      <c r="X8" s="68"/>
      <c r="Y8" s="65"/>
      <c r="Z8" s="68"/>
      <c r="AA8" s="65"/>
      <c r="AB8" s="68"/>
      <c r="AC8" s="65"/>
      <c r="AD8" s="68"/>
      <c r="AE8" s="65"/>
      <c r="AF8" s="63"/>
      <c r="AG8" s="63"/>
      <c r="AH8" s="63"/>
      <c r="AI8" s="71"/>
      <c r="AJ8" s="70"/>
      <c r="AK8" s="63"/>
      <c r="AL8" s="63"/>
      <c r="AM8" s="63"/>
      <c r="AN8" s="62"/>
      <c r="AO8" s="62"/>
      <c r="AP8" s="62"/>
    </row>
    <row r="9" spans="1:42" x14ac:dyDescent="0.25">
      <c r="A9" s="62"/>
      <c r="B9" s="62"/>
      <c r="C9" s="62"/>
      <c r="D9" s="62"/>
      <c r="E9" s="62"/>
      <c r="F9" s="62"/>
      <c r="G9" s="63"/>
      <c r="H9" s="63"/>
      <c r="I9" s="63"/>
      <c r="J9" s="64"/>
      <c r="K9" s="65"/>
      <c r="L9" s="64"/>
      <c r="M9" s="65"/>
      <c r="N9" s="64"/>
      <c r="O9" s="65"/>
      <c r="P9" s="64"/>
      <c r="Q9" s="65"/>
      <c r="R9" s="66"/>
      <c r="S9" s="67"/>
      <c r="T9" s="68"/>
      <c r="U9" s="65"/>
      <c r="V9" s="68"/>
      <c r="W9" s="65"/>
      <c r="X9" s="68"/>
      <c r="Y9" s="65"/>
      <c r="Z9" s="68"/>
      <c r="AA9" s="65"/>
      <c r="AB9" s="68"/>
      <c r="AC9" s="65"/>
      <c r="AD9" s="68"/>
      <c r="AE9" s="65"/>
      <c r="AF9" s="63"/>
      <c r="AG9" s="63"/>
      <c r="AH9" s="63"/>
      <c r="AI9" s="71"/>
      <c r="AJ9" s="70"/>
      <c r="AK9" s="63"/>
      <c r="AL9" s="63"/>
      <c r="AM9" s="63"/>
      <c r="AN9" s="62"/>
      <c r="AO9" s="62"/>
      <c r="AP9" s="62"/>
    </row>
    <row r="10" spans="1:42" x14ac:dyDescent="0.25">
      <c r="A10" s="62"/>
      <c r="B10" s="62"/>
      <c r="C10" s="62"/>
      <c r="D10" s="62"/>
      <c r="E10" s="62"/>
      <c r="F10" s="62"/>
      <c r="G10" s="63"/>
      <c r="H10" s="63"/>
      <c r="I10" s="63"/>
      <c r="J10" s="64"/>
      <c r="K10" s="65"/>
      <c r="L10" s="64"/>
      <c r="M10" s="65"/>
      <c r="N10" s="64"/>
      <c r="O10" s="65"/>
      <c r="P10" s="64"/>
      <c r="Q10" s="65"/>
      <c r="R10" s="66"/>
      <c r="S10" s="67"/>
      <c r="T10" s="68"/>
      <c r="U10" s="65"/>
      <c r="V10" s="68"/>
      <c r="W10" s="65"/>
      <c r="X10" s="68"/>
      <c r="Y10" s="65"/>
      <c r="Z10" s="68"/>
      <c r="AA10" s="65"/>
      <c r="AB10" s="68"/>
      <c r="AC10" s="65"/>
      <c r="AD10" s="68"/>
      <c r="AE10" s="65"/>
      <c r="AF10" s="63"/>
      <c r="AG10" s="63"/>
      <c r="AH10" s="63"/>
      <c r="AI10" s="69"/>
      <c r="AJ10" s="70"/>
      <c r="AK10" s="63"/>
      <c r="AL10" s="63"/>
      <c r="AM10" s="63"/>
      <c r="AN10" s="62"/>
      <c r="AO10" s="62"/>
      <c r="AP10" s="62"/>
    </row>
    <row r="11" spans="1:4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</row>
    <row r="12" spans="1:4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</row>
    <row r="13" spans="1:4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</row>
    <row r="14" spans="1:4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</row>
    <row r="15" spans="1:42" x14ac:dyDescent="0.25">
      <c r="A15" s="62"/>
      <c r="B15" s="62"/>
      <c r="C15" s="62"/>
      <c r="D15" s="62"/>
      <c r="E15" s="62"/>
      <c r="F15" s="62"/>
      <c r="G15" s="63"/>
      <c r="H15" s="63"/>
      <c r="I15" s="63"/>
      <c r="J15" s="64"/>
      <c r="K15" s="65"/>
      <c r="L15" s="64"/>
      <c r="M15" s="65"/>
      <c r="N15" s="64"/>
      <c r="O15" s="65"/>
      <c r="P15" s="64"/>
      <c r="Q15" s="65"/>
      <c r="R15" s="66"/>
      <c r="S15" s="67"/>
      <c r="T15" s="68"/>
      <c r="U15" s="65"/>
      <c r="V15" s="68"/>
      <c r="W15" s="65"/>
      <c r="X15" s="68"/>
      <c r="Y15" s="65"/>
      <c r="Z15" s="68"/>
      <c r="AA15" s="65"/>
      <c r="AB15" s="68"/>
      <c r="AC15" s="65"/>
      <c r="AD15" s="68"/>
      <c r="AE15" s="65"/>
      <c r="AF15" s="63"/>
      <c r="AG15" s="63"/>
      <c r="AH15" s="63"/>
      <c r="AI15" s="69"/>
      <c r="AJ15" s="70"/>
      <c r="AK15" s="63"/>
      <c r="AL15" s="63"/>
      <c r="AM15" s="63"/>
      <c r="AN15" s="62"/>
      <c r="AO15" s="62"/>
      <c r="AP15" s="62"/>
    </row>
    <row r="16" spans="1:42" x14ac:dyDescent="0.25">
      <c r="A16" s="62"/>
      <c r="B16" s="62"/>
      <c r="C16" s="62"/>
      <c r="D16" s="62"/>
      <c r="E16" s="62"/>
      <c r="F16" s="62"/>
      <c r="G16" s="63"/>
      <c r="H16" s="63"/>
      <c r="I16" s="63"/>
      <c r="J16" s="64"/>
      <c r="K16" s="65"/>
      <c r="L16" s="64"/>
      <c r="M16" s="65"/>
      <c r="N16" s="64"/>
      <c r="O16" s="65"/>
      <c r="P16" s="64"/>
      <c r="Q16" s="65"/>
      <c r="R16" s="66"/>
      <c r="S16" s="67"/>
      <c r="T16" s="68"/>
      <c r="U16" s="65"/>
      <c r="V16" s="68"/>
      <c r="W16" s="65"/>
      <c r="X16" s="68"/>
      <c r="Y16" s="65"/>
      <c r="Z16" s="68"/>
      <c r="AA16" s="65"/>
      <c r="AB16" s="68"/>
      <c r="AC16" s="65"/>
      <c r="AD16" s="68"/>
      <c r="AE16" s="65"/>
      <c r="AF16" s="63"/>
      <c r="AG16" s="63"/>
      <c r="AH16" s="68"/>
      <c r="AI16" s="69"/>
      <c r="AJ16" s="70"/>
      <c r="AK16" s="63"/>
      <c r="AL16" s="63"/>
      <c r="AM16" s="63"/>
      <c r="AN16" s="62"/>
      <c r="AO16" s="62"/>
      <c r="AP16" s="62"/>
    </row>
    <row r="17" spans="1:42" x14ac:dyDescent="0.25">
      <c r="A17" s="62"/>
      <c r="B17" s="62"/>
      <c r="C17" s="62"/>
      <c r="D17" s="62"/>
      <c r="E17" s="62"/>
      <c r="F17" s="62"/>
      <c r="G17" s="63"/>
      <c r="H17" s="63"/>
      <c r="I17" s="63"/>
      <c r="J17" s="64"/>
      <c r="K17" s="65"/>
      <c r="L17" s="64"/>
      <c r="M17" s="65"/>
      <c r="N17" s="64"/>
      <c r="O17" s="65"/>
      <c r="P17" s="64"/>
      <c r="Q17" s="65"/>
      <c r="R17" s="66"/>
      <c r="S17" s="67"/>
      <c r="T17" s="68"/>
      <c r="U17" s="65"/>
      <c r="V17" s="68"/>
      <c r="W17" s="65"/>
      <c r="X17" s="68"/>
      <c r="Y17" s="65"/>
      <c r="Z17" s="68"/>
      <c r="AA17" s="65"/>
      <c r="AB17" s="68"/>
      <c r="AC17" s="65"/>
      <c r="AD17" s="68"/>
      <c r="AE17" s="65"/>
      <c r="AF17" s="63"/>
      <c r="AG17" s="63"/>
      <c r="AH17" s="63"/>
      <c r="AI17" s="71"/>
      <c r="AJ17" s="70"/>
      <c r="AK17" s="63"/>
      <c r="AL17" s="63"/>
      <c r="AM17" s="63"/>
      <c r="AN17" s="62"/>
      <c r="AO17" s="62"/>
      <c r="AP17" s="62"/>
    </row>
    <row r="18" spans="1:42" x14ac:dyDescent="0.25">
      <c r="A18" s="62"/>
      <c r="B18" s="62"/>
      <c r="C18" s="62"/>
      <c r="D18" s="62"/>
      <c r="E18" s="62"/>
      <c r="F18" s="62"/>
      <c r="G18" s="63"/>
      <c r="H18" s="63"/>
      <c r="I18" s="63"/>
      <c r="J18" s="64"/>
      <c r="K18" s="65"/>
      <c r="L18" s="64"/>
      <c r="M18" s="65"/>
      <c r="N18" s="64"/>
      <c r="O18" s="65"/>
      <c r="P18" s="64"/>
      <c r="Q18" s="65"/>
      <c r="R18" s="66"/>
      <c r="S18" s="67"/>
      <c r="T18" s="68"/>
      <c r="U18" s="65"/>
      <c r="V18" s="68"/>
      <c r="W18" s="65"/>
      <c r="X18" s="68"/>
      <c r="Y18" s="65"/>
      <c r="Z18" s="68"/>
      <c r="AA18" s="65"/>
      <c r="AB18" s="68"/>
      <c r="AC18" s="65"/>
      <c r="AD18" s="68"/>
      <c r="AE18" s="65"/>
      <c r="AF18" s="63"/>
      <c r="AG18" s="63"/>
      <c r="AH18" s="63"/>
      <c r="AI18" s="69"/>
      <c r="AJ18" s="70"/>
      <c r="AK18" s="63"/>
      <c r="AL18" s="63"/>
      <c r="AM18" s="63"/>
      <c r="AN18" s="62"/>
      <c r="AO18" s="62"/>
      <c r="AP18" s="62"/>
    </row>
    <row r="19" spans="1:42" x14ac:dyDescent="0.25">
      <c r="A19" s="62"/>
      <c r="B19" s="62"/>
      <c r="C19" s="62"/>
      <c r="D19" s="62"/>
      <c r="E19" s="62"/>
      <c r="F19" s="62"/>
      <c r="G19" s="63"/>
      <c r="H19" s="63"/>
      <c r="I19" s="63"/>
      <c r="J19" s="64"/>
      <c r="K19" s="65"/>
      <c r="L19" s="64"/>
      <c r="M19" s="65"/>
      <c r="N19" s="64"/>
      <c r="O19" s="65"/>
      <c r="P19" s="64"/>
      <c r="Q19" s="65"/>
      <c r="R19" s="66"/>
      <c r="S19" s="67"/>
      <c r="T19" s="68"/>
      <c r="U19" s="65"/>
      <c r="V19" s="68"/>
      <c r="W19" s="65"/>
      <c r="X19" s="68"/>
      <c r="Y19" s="65"/>
      <c r="Z19" s="68"/>
      <c r="AA19" s="65"/>
      <c r="AB19" s="68"/>
      <c r="AC19" s="65"/>
      <c r="AD19" s="68"/>
      <c r="AE19" s="65"/>
      <c r="AF19" s="63"/>
      <c r="AG19" s="63"/>
      <c r="AH19" s="63"/>
      <c r="AI19" s="71"/>
      <c r="AJ19" s="70"/>
      <c r="AK19" s="63"/>
      <c r="AL19" s="63"/>
      <c r="AM19" s="63"/>
      <c r="AN19" s="62"/>
      <c r="AO19" s="62"/>
      <c r="AP19" s="62"/>
    </row>
    <row r="20" spans="1:42" x14ac:dyDescent="0.25">
      <c r="A20" s="62"/>
      <c r="B20" s="62"/>
      <c r="C20" s="62"/>
      <c r="D20" s="62"/>
      <c r="E20" s="62"/>
      <c r="F20" s="62"/>
      <c r="G20" s="63"/>
      <c r="H20" s="63"/>
      <c r="I20" s="63"/>
      <c r="J20" s="64"/>
      <c r="K20" s="65"/>
      <c r="L20" s="64"/>
      <c r="M20" s="65"/>
      <c r="N20" s="64"/>
      <c r="O20" s="65"/>
      <c r="P20" s="64"/>
      <c r="Q20" s="65"/>
      <c r="R20" s="66"/>
      <c r="S20" s="67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3"/>
      <c r="AG20" s="63"/>
      <c r="AH20" s="63"/>
      <c r="AI20" s="71"/>
      <c r="AJ20" s="70"/>
      <c r="AK20" s="63"/>
      <c r="AL20" s="63"/>
      <c r="AM20" s="63"/>
      <c r="AN20" s="62"/>
      <c r="AO20" s="62"/>
      <c r="AP20" s="62"/>
    </row>
    <row r="21" spans="1:42" x14ac:dyDescent="0.25">
      <c r="A21" s="62"/>
      <c r="B21" s="62"/>
      <c r="C21" s="62"/>
      <c r="D21" s="62"/>
      <c r="E21" s="62"/>
      <c r="F21" s="62"/>
      <c r="G21" s="63"/>
      <c r="H21" s="63"/>
      <c r="I21" s="63"/>
      <c r="J21" s="64"/>
      <c r="K21" s="65"/>
      <c r="L21" s="64"/>
      <c r="M21" s="65"/>
      <c r="N21" s="64"/>
      <c r="O21" s="65"/>
      <c r="P21" s="64"/>
      <c r="Q21" s="65"/>
      <c r="R21" s="66"/>
      <c r="S21" s="67"/>
      <c r="T21" s="68"/>
      <c r="U21" s="65"/>
      <c r="V21" s="68"/>
      <c r="W21" s="65"/>
      <c r="X21" s="68"/>
      <c r="Y21" s="65"/>
      <c r="Z21" s="68"/>
      <c r="AA21" s="65"/>
      <c r="AB21" s="68"/>
      <c r="AC21" s="65"/>
      <c r="AD21" s="68"/>
      <c r="AE21" s="65"/>
      <c r="AF21" s="63"/>
      <c r="AG21" s="63"/>
      <c r="AH21" s="63"/>
      <c r="AI21" s="69"/>
      <c r="AJ21" s="70"/>
      <c r="AK21" s="63"/>
      <c r="AL21" s="63"/>
      <c r="AM21" s="63"/>
      <c r="AN21" s="62"/>
      <c r="AO21" s="62"/>
      <c r="AP21" s="62"/>
    </row>
    <row r="22" spans="1:4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</sheetData>
  <mergeCells count="28">
    <mergeCell ref="AB2:AC2"/>
    <mergeCell ref="AD2:AF2"/>
    <mergeCell ref="AG2:AH2"/>
    <mergeCell ref="AI2:AJ2"/>
    <mergeCell ref="AK2:AM2"/>
    <mergeCell ref="A1:A3"/>
    <mergeCell ref="AB1:AM1"/>
    <mergeCell ref="AN1:AP2"/>
    <mergeCell ref="J2:K2"/>
    <mergeCell ref="L2:M2"/>
    <mergeCell ref="N2:O2"/>
    <mergeCell ref="P2:Q2"/>
    <mergeCell ref="T2:U2"/>
    <mergeCell ref="V2:W2"/>
    <mergeCell ref="X2:Y2"/>
    <mergeCell ref="Z2:AA2"/>
    <mergeCell ref="H1:H3"/>
    <mergeCell ref="I1:I3"/>
    <mergeCell ref="K1:Q1"/>
    <mergeCell ref="R1:R3"/>
    <mergeCell ref="S1:S3"/>
    <mergeCell ref="T1:AA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sqref="A1:A3"/>
    </sheetView>
  </sheetViews>
  <sheetFormatPr baseColWidth="10" defaultRowHeight="15" x14ac:dyDescent="0.25"/>
  <sheetData>
    <row r="1" spans="1:41" ht="15" customHeight="1" x14ac:dyDescent="0.25">
      <c r="A1" s="661" t="s">
        <v>1</v>
      </c>
      <c r="B1" s="661" t="s">
        <v>2</v>
      </c>
      <c r="C1" s="661" t="s">
        <v>3</v>
      </c>
      <c r="D1" s="661" t="s">
        <v>4</v>
      </c>
      <c r="E1" s="661" t="s">
        <v>5</v>
      </c>
      <c r="F1" s="661" t="s">
        <v>7</v>
      </c>
      <c r="G1" s="661" t="s">
        <v>8</v>
      </c>
      <c r="H1" s="662" t="s">
        <v>9</v>
      </c>
      <c r="I1" s="253"/>
      <c r="J1" s="661" t="s">
        <v>10</v>
      </c>
      <c r="K1" s="661"/>
      <c r="L1" s="661"/>
      <c r="M1" s="661"/>
      <c r="N1" s="661"/>
      <c r="O1" s="661"/>
      <c r="P1" s="661"/>
      <c r="Q1" s="668" t="s">
        <v>11</v>
      </c>
      <c r="R1" s="666" t="s">
        <v>12</v>
      </c>
      <c r="S1" s="660" t="s">
        <v>13</v>
      </c>
      <c r="T1" s="661"/>
      <c r="U1" s="661"/>
      <c r="V1" s="661"/>
      <c r="W1" s="661"/>
      <c r="X1" s="661"/>
      <c r="Y1" s="661"/>
      <c r="Z1" s="662"/>
      <c r="AA1" s="654" t="s">
        <v>14</v>
      </c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6"/>
      <c r="AM1" s="654" t="s">
        <v>15</v>
      </c>
      <c r="AN1" s="655"/>
      <c r="AO1" s="656"/>
    </row>
    <row r="2" spans="1:41" x14ac:dyDescent="0.25">
      <c r="A2" s="649"/>
      <c r="B2" s="649"/>
      <c r="C2" s="649"/>
      <c r="D2" s="649"/>
      <c r="E2" s="649"/>
      <c r="F2" s="649"/>
      <c r="G2" s="649"/>
      <c r="H2" s="653"/>
      <c r="I2" s="648">
        <v>2012</v>
      </c>
      <c r="J2" s="649"/>
      <c r="K2" s="649">
        <v>2013</v>
      </c>
      <c r="L2" s="649"/>
      <c r="M2" s="649">
        <v>2014</v>
      </c>
      <c r="N2" s="649"/>
      <c r="O2" s="649">
        <v>2015</v>
      </c>
      <c r="P2" s="649"/>
      <c r="Q2" s="669"/>
      <c r="R2" s="667"/>
      <c r="S2" s="648">
        <v>2012</v>
      </c>
      <c r="T2" s="649"/>
      <c r="U2" s="649">
        <v>2013</v>
      </c>
      <c r="V2" s="649"/>
      <c r="W2" s="649">
        <v>2014</v>
      </c>
      <c r="X2" s="649"/>
      <c r="Y2" s="649">
        <v>2015</v>
      </c>
      <c r="Z2" s="653"/>
      <c r="AA2" s="648" t="s">
        <v>16</v>
      </c>
      <c r="AB2" s="649"/>
      <c r="AC2" s="650" t="s">
        <v>17</v>
      </c>
      <c r="AD2" s="651"/>
      <c r="AE2" s="652"/>
      <c r="AF2" s="649" t="s">
        <v>18</v>
      </c>
      <c r="AG2" s="649"/>
      <c r="AH2" s="670" t="s">
        <v>19</v>
      </c>
      <c r="AI2" s="671"/>
      <c r="AJ2" s="649" t="s">
        <v>20</v>
      </c>
      <c r="AK2" s="649"/>
      <c r="AL2" s="653"/>
      <c r="AM2" s="657"/>
      <c r="AN2" s="658"/>
      <c r="AO2" s="659"/>
    </row>
    <row r="3" spans="1:41" ht="24" x14ac:dyDescent="0.25">
      <c r="A3" s="678"/>
      <c r="B3" s="678"/>
      <c r="C3" s="678"/>
      <c r="D3" s="678"/>
      <c r="E3" s="678"/>
      <c r="F3" s="678"/>
      <c r="G3" s="678"/>
      <c r="H3" s="680"/>
      <c r="I3" s="256" t="s">
        <v>21</v>
      </c>
      <c r="J3" s="254" t="s">
        <v>22</v>
      </c>
      <c r="K3" s="254" t="s">
        <v>21</v>
      </c>
      <c r="L3" s="254" t="s">
        <v>22</v>
      </c>
      <c r="M3" s="254" t="s">
        <v>21</v>
      </c>
      <c r="N3" s="254" t="s">
        <v>22</v>
      </c>
      <c r="O3" s="254" t="s">
        <v>21</v>
      </c>
      <c r="P3" s="254" t="s">
        <v>22</v>
      </c>
      <c r="Q3" s="669"/>
      <c r="R3" s="667"/>
      <c r="S3" s="256" t="s">
        <v>23</v>
      </c>
      <c r="T3" s="254" t="s">
        <v>22</v>
      </c>
      <c r="U3" s="254" t="s">
        <v>23</v>
      </c>
      <c r="V3" s="254" t="s">
        <v>22</v>
      </c>
      <c r="W3" s="254" t="s">
        <v>23</v>
      </c>
      <c r="X3" s="254" t="s">
        <v>22</v>
      </c>
      <c r="Y3" s="254" t="s">
        <v>23</v>
      </c>
      <c r="Z3" s="255" t="s">
        <v>22</v>
      </c>
      <c r="AA3" s="256" t="s">
        <v>23</v>
      </c>
      <c r="AB3" s="254" t="s">
        <v>22</v>
      </c>
      <c r="AC3" s="254" t="s">
        <v>23</v>
      </c>
      <c r="AD3" s="254" t="s">
        <v>22</v>
      </c>
      <c r="AE3" s="254" t="s">
        <v>24</v>
      </c>
      <c r="AF3" s="254" t="s">
        <v>23</v>
      </c>
      <c r="AG3" s="254" t="s">
        <v>22</v>
      </c>
      <c r="AH3" s="59" t="s">
        <v>23</v>
      </c>
      <c r="AI3" s="59" t="s">
        <v>22</v>
      </c>
      <c r="AJ3" s="257" t="s">
        <v>23</v>
      </c>
      <c r="AK3" s="254" t="s">
        <v>22</v>
      </c>
      <c r="AL3" s="79" t="s">
        <v>25</v>
      </c>
      <c r="AM3" s="252" t="s">
        <v>109</v>
      </c>
      <c r="AN3" s="252" t="s">
        <v>113</v>
      </c>
      <c r="AO3" s="252" t="s">
        <v>111</v>
      </c>
    </row>
    <row r="4" spans="1:41" x14ac:dyDescent="0.25">
      <c r="A4" s="62"/>
      <c r="B4" s="62"/>
      <c r="C4" s="62"/>
      <c r="D4" s="62"/>
      <c r="E4" s="62"/>
      <c r="F4" s="63"/>
      <c r="G4" s="63"/>
      <c r="H4" s="63"/>
      <c r="I4" s="64"/>
      <c r="J4" s="65"/>
      <c r="K4" s="64"/>
      <c r="L4" s="65"/>
      <c r="M4" s="64"/>
      <c r="N4" s="65"/>
      <c r="O4" s="64"/>
      <c r="P4" s="65"/>
      <c r="Q4" s="66"/>
      <c r="R4" s="67"/>
      <c r="S4" s="68"/>
      <c r="T4" s="65"/>
      <c r="U4" s="68"/>
      <c r="V4" s="65"/>
      <c r="W4" s="68"/>
      <c r="X4" s="65"/>
      <c r="Y4" s="68"/>
      <c r="Z4" s="65"/>
      <c r="AA4" s="68"/>
      <c r="AB4" s="65"/>
      <c r="AC4" s="68"/>
      <c r="AD4" s="65"/>
      <c r="AE4" s="63"/>
      <c r="AF4" s="63"/>
      <c r="AG4" s="63"/>
      <c r="AH4" s="69"/>
      <c r="AI4" s="70"/>
      <c r="AJ4" s="63"/>
      <c r="AK4" s="63"/>
      <c r="AL4" s="63"/>
      <c r="AM4" s="62"/>
      <c r="AN4" s="62"/>
      <c r="AO4" s="62"/>
    </row>
    <row r="5" spans="1:41" x14ac:dyDescent="0.25">
      <c r="A5" s="62"/>
      <c r="B5" s="62"/>
      <c r="C5" s="62"/>
      <c r="D5" s="62"/>
      <c r="E5" s="62"/>
      <c r="F5" s="63"/>
      <c r="G5" s="63"/>
      <c r="H5" s="63"/>
      <c r="I5" s="64"/>
      <c r="J5" s="65"/>
      <c r="K5" s="64"/>
      <c r="L5" s="65"/>
      <c r="M5" s="64"/>
      <c r="N5" s="65"/>
      <c r="O5" s="64"/>
      <c r="P5" s="65"/>
      <c r="Q5" s="66"/>
      <c r="R5" s="67"/>
      <c r="S5" s="68"/>
      <c r="T5" s="65"/>
      <c r="U5" s="68"/>
      <c r="V5" s="65"/>
      <c r="W5" s="68"/>
      <c r="X5" s="65"/>
      <c r="Y5" s="68"/>
      <c r="Z5" s="65"/>
      <c r="AA5" s="68"/>
      <c r="AB5" s="65"/>
      <c r="AC5" s="68"/>
      <c r="AD5" s="65"/>
      <c r="AE5" s="63"/>
      <c r="AF5" s="63"/>
      <c r="AG5" s="68"/>
      <c r="AH5" s="69"/>
      <c r="AI5" s="70"/>
      <c r="AJ5" s="63"/>
      <c r="AK5" s="63"/>
      <c r="AL5" s="63"/>
      <c r="AM5" s="62"/>
      <c r="AN5" s="62"/>
      <c r="AO5" s="62"/>
    </row>
    <row r="6" spans="1:41" x14ac:dyDescent="0.25">
      <c r="A6" s="62"/>
      <c r="B6" s="62"/>
      <c r="C6" s="62"/>
      <c r="D6" s="62"/>
      <c r="E6" s="62"/>
      <c r="F6" s="63"/>
      <c r="G6" s="63"/>
      <c r="H6" s="63"/>
      <c r="I6" s="64"/>
      <c r="J6" s="65"/>
      <c r="K6" s="64"/>
      <c r="L6" s="65"/>
      <c r="M6" s="64"/>
      <c r="N6" s="65"/>
      <c r="O6" s="64"/>
      <c r="P6" s="65"/>
      <c r="Q6" s="66"/>
      <c r="R6" s="67"/>
      <c r="S6" s="68"/>
      <c r="T6" s="65"/>
      <c r="U6" s="68"/>
      <c r="V6" s="65"/>
      <c r="W6" s="68"/>
      <c r="X6" s="65"/>
      <c r="Y6" s="68"/>
      <c r="Z6" s="65"/>
      <c r="AA6" s="68"/>
      <c r="AB6" s="65"/>
      <c r="AC6" s="68"/>
      <c r="AD6" s="65"/>
      <c r="AE6" s="63"/>
      <c r="AF6" s="63"/>
      <c r="AG6" s="63"/>
      <c r="AH6" s="71"/>
      <c r="AI6" s="70"/>
      <c r="AJ6" s="63"/>
      <c r="AK6" s="63"/>
      <c r="AL6" s="63"/>
      <c r="AM6" s="62"/>
      <c r="AN6" s="62"/>
      <c r="AO6" s="62"/>
    </row>
    <row r="7" spans="1:41" x14ac:dyDescent="0.25">
      <c r="A7" s="62"/>
      <c r="B7" s="62"/>
      <c r="C7" s="62"/>
      <c r="D7" s="62"/>
      <c r="E7" s="62"/>
      <c r="F7" s="63"/>
      <c r="G7" s="63"/>
      <c r="H7" s="63"/>
      <c r="I7" s="64"/>
      <c r="J7" s="65"/>
      <c r="K7" s="64"/>
      <c r="L7" s="65"/>
      <c r="M7" s="64"/>
      <c r="N7" s="65"/>
      <c r="O7" s="64"/>
      <c r="P7" s="65"/>
      <c r="Q7" s="66"/>
      <c r="R7" s="67"/>
      <c r="S7" s="68"/>
      <c r="T7" s="65"/>
      <c r="U7" s="68"/>
      <c r="V7" s="65"/>
      <c r="W7" s="68"/>
      <c r="X7" s="65"/>
      <c r="Y7" s="68"/>
      <c r="Z7" s="65"/>
      <c r="AA7" s="68"/>
      <c r="AB7" s="65"/>
      <c r="AC7" s="68"/>
      <c r="AD7" s="65"/>
      <c r="AE7" s="63"/>
      <c r="AF7" s="63"/>
      <c r="AG7" s="63"/>
      <c r="AH7" s="69"/>
      <c r="AI7" s="70"/>
      <c r="AJ7" s="63"/>
      <c r="AK7" s="63"/>
      <c r="AL7" s="63"/>
      <c r="AM7" s="62"/>
      <c r="AN7" s="62"/>
      <c r="AO7" s="62"/>
    </row>
    <row r="8" spans="1:41" x14ac:dyDescent="0.25">
      <c r="A8" s="62"/>
      <c r="B8" s="62"/>
      <c r="C8" s="62"/>
      <c r="D8" s="62"/>
      <c r="E8" s="62"/>
      <c r="F8" s="63"/>
      <c r="G8" s="63"/>
      <c r="H8" s="63"/>
      <c r="I8" s="64"/>
      <c r="J8" s="65"/>
      <c r="K8" s="64"/>
      <c r="L8" s="65"/>
      <c r="M8" s="64"/>
      <c r="N8" s="65"/>
      <c r="O8" s="64"/>
      <c r="P8" s="65"/>
      <c r="Q8" s="66"/>
      <c r="R8" s="67"/>
      <c r="S8" s="68"/>
      <c r="T8" s="65"/>
      <c r="U8" s="68"/>
      <c r="V8" s="65"/>
      <c r="W8" s="68"/>
      <c r="X8" s="65"/>
      <c r="Y8" s="68"/>
      <c r="Z8" s="65"/>
      <c r="AA8" s="68"/>
      <c r="AB8" s="65"/>
      <c r="AC8" s="68"/>
      <c r="AD8" s="65"/>
      <c r="AE8" s="63"/>
      <c r="AF8" s="63"/>
      <c r="AG8" s="63"/>
      <c r="AH8" s="71"/>
      <c r="AI8" s="70"/>
      <c r="AJ8" s="63"/>
      <c r="AK8" s="63"/>
      <c r="AL8" s="63"/>
      <c r="AM8" s="62"/>
      <c r="AN8" s="62"/>
      <c r="AO8" s="62"/>
    </row>
    <row r="9" spans="1:41" x14ac:dyDescent="0.25">
      <c r="A9" s="62"/>
      <c r="B9" s="62"/>
      <c r="C9" s="62"/>
      <c r="D9" s="62"/>
      <c r="E9" s="62"/>
      <c r="F9" s="63"/>
      <c r="G9" s="63"/>
      <c r="H9" s="63"/>
      <c r="I9" s="64"/>
      <c r="J9" s="65"/>
      <c r="K9" s="64"/>
      <c r="L9" s="65"/>
      <c r="M9" s="64"/>
      <c r="N9" s="65"/>
      <c r="O9" s="64"/>
      <c r="P9" s="65"/>
      <c r="Q9" s="66"/>
      <c r="R9" s="67"/>
      <c r="S9" s="68"/>
      <c r="T9" s="65"/>
      <c r="U9" s="68"/>
      <c r="V9" s="65"/>
      <c r="W9" s="68"/>
      <c r="X9" s="65"/>
      <c r="Y9" s="68"/>
      <c r="Z9" s="65"/>
      <c r="AA9" s="68"/>
      <c r="AB9" s="65"/>
      <c r="AC9" s="68"/>
      <c r="AD9" s="65"/>
      <c r="AE9" s="63"/>
      <c r="AF9" s="63"/>
      <c r="AG9" s="63"/>
      <c r="AH9" s="71"/>
      <c r="AI9" s="70"/>
      <c r="AJ9" s="63"/>
      <c r="AK9" s="63"/>
      <c r="AL9" s="63"/>
      <c r="AM9" s="62"/>
      <c r="AN9" s="62"/>
      <c r="AO9" s="62"/>
    </row>
    <row r="10" spans="1:41" x14ac:dyDescent="0.25">
      <c r="A10" s="62"/>
      <c r="B10" s="62"/>
      <c r="C10" s="62"/>
      <c r="D10" s="62"/>
      <c r="E10" s="62"/>
      <c r="F10" s="63"/>
      <c r="G10" s="63"/>
      <c r="H10" s="63"/>
      <c r="I10" s="64"/>
      <c r="J10" s="65"/>
      <c r="K10" s="64"/>
      <c r="L10" s="65"/>
      <c r="M10" s="64"/>
      <c r="N10" s="65"/>
      <c r="O10" s="64"/>
      <c r="P10" s="65"/>
      <c r="Q10" s="66"/>
      <c r="R10" s="67"/>
      <c r="S10" s="68"/>
      <c r="T10" s="65"/>
      <c r="U10" s="68"/>
      <c r="V10" s="65"/>
      <c r="W10" s="68"/>
      <c r="X10" s="65"/>
      <c r="Y10" s="68"/>
      <c r="Z10" s="65"/>
      <c r="AA10" s="68"/>
      <c r="AB10" s="65"/>
      <c r="AC10" s="68"/>
      <c r="AD10" s="65"/>
      <c r="AE10" s="63"/>
      <c r="AF10" s="63"/>
      <c r="AG10" s="63"/>
      <c r="AH10" s="69"/>
      <c r="AI10" s="70"/>
      <c r="AJ10" s="63"/>
      <c r="AK10" s="63"/>
      <c r="AL10" s="63"/>
      <c r="AM10" s="62"/>
      <c r="AN10" s="62"/>
      <c r="AO10" s="62"/>
    </row>
    <row r="11" spans="1:4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x14ac:dyDescent="0.25">
      <c r="A15" s="62"/>
      <c r="B15" s="62"/>
      <c r="C15" s="62"/>
      <c r="D15" s="62"/>
      <c r="E15" s="62"/>
      <c r="F15" s="63"/>
      <c r="G15" s="63"/>
      <c r="H15" s="63"/>
      <c r="I15" s="64"/>
      <c r="J15" s="65"/>
      <c r="K15" s="64"/>
      <c r="L15" s="65"/>
      <c r="M15" s="64"/>
      <c r="N15" s="65"/>
      <c r="O15" s="64"/>
      <c r="P15" s="65"/>
      <c r="Q15" s="66"/>
      <c r="R15" s="67"/>
      <c r="S15" s="68"/>
      <c r="T15" s="65"/>
      <c r="U15" s="68"/>
      <c r="V15" s="65"/>
      <c r="W15" s="68"/>
      <c r="X15" s="65"/>
      <c r="Y15" s="68"/>
      <c r="Z15" s="65"/>
      <c r="AA15" s="68"/>
      <c r="AB15" s="65"/>
      <c r="AC15" s="68"/>
      <c r="AD15" s="65"/>
      <c r="AE15" s="63"/>
      <c r="AF15" s="63"/>
      <c r="AG15" s="63"/>
      <c r="AH15" s="69"/>
      <c r="AI15" s="70"/>
      <c r="AJ15" s="63"/>
      <c r="AK15" s="63"/>
      <c r="AL15" s="63"/>
      <c r="AM15" s="62"/>
      <c r="AN15" s="62"/>
      <c r="AO15" s="62"/>
    </row>
    <row r="16" spans="1:41" x14ac:dyDescent="0.25">
      <c r="A16" s="62"/>
      <c r="B16" s="62"/>
      <c r="C16" s="62"/>
      <c r="D16" s="62"/>
      <c r="E16" s="62"/>
      <c r="F16" s="63"/>
      <c r="G16" s="63"/>
      <c r="H16" s="63"/>
      <c r="I16" s="64"/>
      <c r="J16" s="65"/>
      <c r="K16" s="64"/>
      <c r="L16" s="65"/>
      <c r="M16" s="64"/>
      <c r="N16" s="65"/>
      <c r="O16" s="64"/>
      <c r="P16" s="65"/>
      <c r="Q16" s="66"/>
      <c r="R16" s="67"/>
      <c r="S16" s="68"/>
      <c r="T16" s="65"/>
      <c r="U16" s="68"/>
      <c r="V16" s="65"/>
      <c r="W16" s="68"/>
      <c r="X16" s="65"/>
      <c r="Y16" s="68"/>
      <c r="Z16" s="65"/>
      <c r="AA16" s="68"/>
      <c r="AB16" s="65"/>
      <c r="AC16" s="68"/>
      <c r="AD16" s="65"/>
      <c r="AE16" s="63"/>
      <c r="AF16" s="63"/>
      <c r="AG16" s="68"/>
      <c r="AH16" s="69"/>
      <c r="AI16" s="70"/>
      <c r="AJ16" s="63"/>
      <c r="AK16" s="63"/>
      <c r="AL16" s="63"/>
      <c r="AM16" s="62"/>
      <c r="AN16" s="62"/>
      <c r="AO16" s="62"/>
    </row>
    <row r="17" spans="1:41" x14ac:dyDescent="0.25">
      <c r="A17" s="62"/>
      <c r="B17" s="62"/>
      <c r="C17" s="62"/>
      <c r="D17" s="62"/>
      <c r="E17" s="62"/>
      <c r="F17" s="63"/>
      <c r="G17" s="63"/>
      <c r="H17" s="63"/>
      <c r="I17" s="64"/>
      <c r="J17" s="65"/>
      <c r="K17" s="64"/>
      <c r="L17" s="65"/>
      <c r="M17" s="64"/>
      <c r="N17" s="65"/>
      <c r="O17" s="64"/>
      <c r="P17" s="65"/>
      <c r="Q17" s="66"/>
      <c r="R17" s="67"/>
      <c r="S17" s="68"/>
      <c r="T17" s="65"/>
      <c r="U17" s="68"/>
      <c r="V17" s="65"/>
      <c r="W17" s="68"/>
      <c r="X17" s="65"/>
      <c r="Y17" s="68"/>
      <c r="Z17" s="65"/>
      <c r="AA17" s="68"/>
      <c r="AB17" s="65"/>
      <c r="AC17" s="68"/>
      <c r="AD17" s="65"/>
      <c r="AE17" s="63"/>
      <c r="AF17" s="63"/>
      <c r="AG17" s="63"/>
      <c r="AH17" s="71"/>
      <c r="AI17" s="70"/>
      <c r="AJ17" s="63"/>
      <c r="AK17" s="63"/>
      <c r="AL17" s="63"/>
      <c r="AM17" s="62"/>
      <c r="AN17" s="62"/>
      <c r="AO17" s="62"/>
    </row>
    <row r="18" spans="1:41" x14ac:dyDescent="0.25">
      <c r="A18" s="62"/>
      <c r="B18" s="62"/>
      <c r="C18" s="62"/>
      <c r="D18" s="62"/>
      <c r="E18" s="62"/>
      <c r="F18" s="63"/>
      <c r="G18" s="63"/>
      <c r="H18" s="63"/>
      <c r="I18" s="64"/>
      <c r="J18" s="65"/>
      <c r="K18" s="64"/>
      <c r="L18" s="65"/>
      <c r="M18" s="64"/>
      <c r="N18" s="65"/>
      <c r="O18" s="64"/>
      <c r="P18" s="65"/>
      <c r="Q18" s="66"/>
      <c r="R18" s="67"/>
      <c r="S18" s="68"/>
      <c r="T18" s="65"/>
      <c r="U18" s="68"/>
      <c r="V18" s="65"/>
      <c r="W18" s="68"/>
      <c r="X18" s="65"/>
      <c r="Y18" s="68"/>
      <c r="Z18" s="65"/>
      <c r="AA18" s="68"/>
      <c r="AB18" s="65"/>
      <c r="AC18" s="68"/>
      <c r="AD18" s="65"/>
      <c r="AE18" s="63"/>
      <c r="AF18" s="63"/>
      <c r="AG18" s="63"/>
      <c r="AH18" s="69"/>
      <c r="AI18" s="70"/>
      <c r="AJ18" s="63"/>
      <c r="AK18" s="63"/>
      <c r="AL18" s="63"/>
      <c r="AM18" s="62"/>
      <c r="AN18" s="62"/>
      <c r="AO18" s="62"/>
    </row>
    <row r="19" spans="1:41" x14ac:dyDescent="0.25">
      <c r="A19" s="62"/>
      <c r="B19" s="62"/>
      <c r="C19" s="62"/>
      <c r="D19" s="62"/>
      <c r="E19" s="62"/>
      <c r="F19" s="63"/>
      <c r="G19" s="63"/>
      <c r="H19" s="63"/>
      <c r="I19" s="64"/>
      <c r="J19" s="65"/>
      <c r="K19" s="64"/>
      <c r="L19" s="65"/>
      <c r="M19" s="64"/>
      <c r="N19" s="65"/>
      <c r="O19" s="64"/>
      <c r="P19" s="65"/>
      <c r="Q19" s="66"/>
      <c r="R19" s="67"/>
      <c r="S19" s="68"/>
      <c r="T19" s="65"/>
      <c r="U19" s="68"/>
      <c r="V19" s="65"/>
      <c r="W19" s="68"/>
      <c r="X19" s="65"/>
      <c r="Y19" s="68"/>
      <c r="Z19" s="65"/>
      <c r="AA19" s="68"/>
      <c r="AB19" s="65"/>
      <c r="AC19" s="68"/>
      <c r="AD19" s="65"/>
      <c r="AE19" s="63"/>
      <c r="AF19" s="63"/>
      <c r="AG19" s="63"/>
      <c r="AH19" s="71"/>
      <c r="AI19" s="70"/>
      <c r="AJ19" s="63"/>
      <c r="AK19" s="63"/>
      <c r="AL19" s="63"/>
      <c r="AM19" s="62"/>
      <c r="AN19" s="62"/>
      <c r="AO19" s="62"/>
    </row>
    <row r="20" spans="1:41" x14ac:dyDescent="0.25">
      <c r="A20" s="62"/>
      <c r="B20" s="62"/>
      <c r="C20" s="62"/>
      <c r="D20" s="62"/>
      <c r="E20" s="62"/>
      <c r="F20" s="63"/>
      <c r="G20" s="63"/>
      <c r="H20" s="63"/>
      <c r="I20" s="64"/>
      <c r="J20" s="65"/>
      <c r="K20" s="64"/>
      <c r="L20" s="65"/>
      <c r="M20" s="64"/>
      <c r="N20" s="65"/>
      <c r="O20" s="64"/>
      <c r="P20" s="65"/>
      <c r="Q20" s="66"/>
      <c r="R20" s="67"/>
      <c r="S20" s="68"/>
      <c r="T20" s="65"/>
      <c r="U20" s="68"/>
      <c r="V20" s="65"/>
      <c r="W20" s="68"/>
      <c r="X20" s="65"/>
      <c r="Y20" s="68"/>
      <c r="Z20" s="65"/>
      <c r="AA20" s="68"/>
      <c r="AB20" s="65"/>
      <c r="AC20" s="68"/>
      <c r="AD20" s="65"/>
      <c r="AE20" s="63"/>
      <c r="AF20" s="63"/>
      <c r="AG20" s="63"/>
      <c r="AH20" s="71"/>
      <c r="AI20" s="70"/>
      <c r="AJ20" s="63"/>
      <c r="AK20" s="63"/>
      <c r="AL20" s="63"/>
      <c r="AM20" s="62"/>
      <c r="AN20" s="62"/>
      <c r="AO20" s="62"/>
    </row>
    <row r="21" spans="1:41" x14ac:dyDescent="0.25">
      <c r="A21" s="62"/>
      <c r="B21" s="62"/>
      <c r="C21" s="62"/>
      <c r="D21" s="62"/>
      <c r="E21" s="62"/>
      <c r="F21" s="63"/>
      <c r="G21" s="63"/>
      <c r="H21" s="63"/>
      <c r="I21" s="64"/>
      <c r="J21" s="65"/>
      <c r="K21" s="64"/>
      <c r="L21" s="65"/>
      <c r="M21" s="64"/>
      <c r="N21" s="65"/>
      <c r="O21" s="64"/>
      <c r="P21" s="65"/>
      <c r="Q21" s="66"/>
      <c r="R21" s="67"/>
      <c r="S21" s="68"/>
      <c r="T21" s="65"/>
      <c r="U21" s="68"/>
      <c r="V21" s="65"/>
      <c r="W21" s="68"/>
      <c r="X21" s="65"/>
      <c r="Y21" s="68"/>
      <c r="Z21" s="65"/>
      <c r="AA21" s="68"/>
      <c r="AB21" s="65"/>
      <c r="AC21" s="68"/>
      <c r="AD21" s="65"/>
      <c r="AE21" s="63"/>
      <c r="AF21" s="63"/>
      <c r="AG21" s="63"/>
      <c r="AH21" s="69"/>
      <c r="AI21" s="70"/>
      <c r="AJ21" s="63"/>
      <c r="AK21" s="63"/>
      <c r="AL21" s="63"/>
      <c r="AM21" s="62"/>
      <c r="AN21" s="62"/>
      <c r="AO21" s="62"/>
    </row>
    <row r="22" spans="1:4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</sheetData>
  <mergeCells count="27">
    <mergeCell ref="AA1:AL1"/>
    <mergeCell ref="AM1:AO2"/>
    <mergeCell ref="I2:J2"/>
    <mergeCell ref="K2:L2"/>
    <mergeCell ref="M2:N2"/>
    <mergeCell ref="O2:P2"/>
    <mergeCell ref="S2:T2"/>
    <mergeCell ref="U2:V2"/>
    <mergeCell ref="W2:X2"/>
    <mergeCell ref="Y2:Z2"/>
    <mergeCell ref="S1:Z1"/>
    <mergeCell ref="AA2:AB2"/>
    <mergeCell ref="AC2:AE2"/>
    <mergeCell ref="AF2:AG2"/>
    <mergeCell ref="AH2:AI2"/>
    <mergeCell ref="AJ2:AL2"/>
    <mergeCell ref="G1:G3"/>
    <mergeCell ref="H1:H3"/>
    <mergeCell ref="J1:P1"/>
    <mergeCell ref="Q1:Q3"/>
    <mergeCell ref="R1:R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opLeftCell="L1" workbookViewId="0">
      <selection activeCell="E12" sqref="E12:E13"/>
    </sheetView>
  </sheetViews>
  <sheetFormatPr baseColWidth="10" defaultRowHeight="15" x14ac:dyDescent="0.25"/>
  <cols>
    <col min="1" max="1" width="17.5703125" bestFit="1" customWidth="1"/>
    <col min="2" max="2" width="8.5703125" bestFit="1" customWidth="1"/>
    <col min="3" max="3" width="36.140625" bestFit="1" customWidth="1"/>
    <col min="4" max="4" width="45.85546875" customWidth="1"/>
    <col min="5" max="5" width="24.140625" bestFit="1" customWidth="1"/>
    <col min="6" max="6" width="26" customWidth="1"/>
    <col min="7" max="7" width="12.5703125" bestFit="1" customWidth="1"/>
    <col min="9" max="9" width="15.28515625" bestFit="1" customWidth="1"/>
    <col min="11" max="11" width="8.140625" bestFit="1" customWidth="1"/>
    <col min="12" max="12" width="7" bestFit="1" customWidth="1"/>
    <col min="13" max="13" width="8.140625" bestFit="1" customWidth="1"/>
    <col min="14" max="14" width="4.5703125" bestFit="1" customWidth="1"/>
    <col min="15" max="15" width="9.140625" bestFit="1" customWidth="1"/>
    <col min="16" max="16" width="5.5703125" bestFit="1" customWidth="1"/>
    <col min="17" max="17" width="9.140625" bestFit="1" customWidth="1"/>
    <col min="18" max="18" width="5.5703125" bestFit="1" customWidth="1"/>
    <col min="19" max="19" width="18.5703125" customWidth="1"/>
    <col min="20" max="20" width="16.28515625" bestFit="1" customWidth="1"/>
    <col min="21" max="21" width="11.85546875" bestFit="1" customWidth="1"/>
    <col min="22" max="22" width="4.5703125" bestFit="1" customWidth="1"/>
    <col min="23" max="23" width="13.28515625" bestFit="1" customWidth="1"/>
    <col min="24" max="24" width="4.28515625" bestFit="1" customWidth="1"/>
    <col min="25" max="25" width="13.28515625" bestFit="1" customWidth="1"/>
    <col min="26" max="26" width="5.5703125" bestFit="1" customWidth="1"/>
    <col min="27" max="27" width="11.85546875" bestFit="1" customWidth="1"/>
    <col min="28" max="28" width="5.5703125" bestFit="1" customWidth="1"/>
    <col min="30" max="30" width="4.5703125" bestFit="1" customWidth="1"/>
    <col min="31" max="31" width="10.28515625" bestFit="1" customWidth="1"/>
    <col min="32" max="32" width="4.5703125" bestFit="1" customWidth="1"/>
    <col min="33" max="33" width="9" bestFit="1" customWidth="1"/>
    <col min="34" max="34" width="2" bestFit="1" customWidth="1"/>
    <col min="35" max="35" width="2.28515625" bestFit="1" customWidth="1"/>
    <col min="36" max="36" width="11.28515625" bestFit="1" customWidth="1"/>
    <col min="37" max="37" width="5.5703125" bestFit="1" customWidth="1"/>
    <col min="38" max="38" width="2" bestFit="1" customWidth="1"/>
    <col min="39" max="39" width="2.28515625" bestFit="1" customWidth="1"/>
    <col min="40" max="40" width="8" bestFit="1" customWidth="1"/>
    <col min="41" max="41" width="17.42578125" customWidth="1"/>
    <col min="42" max="43" width="14.42578125" bestFit="1" customWidth="1"/>
  </cols>
  <sheetData>
    <row r="1" spans="1:43" ht="15" customHeight="1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6</v>
      </c>
      <c r="H1" s="661" t="s">
        <v>7</v>
      </c>
      <c r="I1" s="661" t="s">
        <v>8</v>
      </c>
      <c r="J1" s="662" t="s">
        <v>9</v>
      </c>
      <c r="K1" s="58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79"/>
      <c r="AO1" s="655" t="s">
        <v>15</v>
      </c>
      <c r="AP1" s="655"/>
      <c r="AQ1" s="655"/>
    </row>
    <row r="2" spans="1:43" x14ac:dyDescent="0.25">
      <c r="A2" s="648"/>
      <c r="B2" s="649"/>
      <c r="C2" s="649"/>
      <c r="D2" s="649"/>
      <c r="E2" s="649"/>
      <c r="F2" s="649"/>
      <c r="G2" s="649"/>
      <c r="H2" s="649"/>
      <c r="I2" s="649"/>
      <c r="J2" s="653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49"/>
      <c r="AO2" s="658"/>
      <c r="AP2" s="658"/>
      <c r="AQ2" s="658"/>
    </row>
    <row r="3" spans="1:43" x14ac:dyDescent="0.25">
      <c r="A3" s="677"/>
      <c r="B3" s="678"/>
      <c r="C3" s="678"/>
      <c r="D3" s="678"/>
      <c r="E3" s="678"/>
      <c r="F3" s="678"/>
      <c r="G3" s="678"/>
      <c r="H3" s="678"/>
      <c r="I3" s="678"/>
      <c r="J3" s="680"/>
      <c r="K3" s="56" t="s">
        <v>21</v>
      </c>
      <c r="L3" s="54" t="s">
        <v>22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  <c r="S3" s="669"/>
      <c r="T3" s="667"/>
      <c r="U3" s="56" t="s">
        <v>23</v>
      </c>
      <c r="V3" s="54" t="s">
        <v>22</v>
      </c>
      <c r="W3" s="54" t="s">
        <v>23</v>
      </c>
      <c r="X3" s="54" t="s">
        <v>22</v>
      </c>
      <c r="Y3" s="54" t="s">
        <v>23</v>
      </c>
      <c r="Z3" s="54" t="s">
        <v>22</v>
      </c>
      <c r="AA3" s="54" t="s">
        <v>23</v>
      </c>
      <c r="AB3" s="57" t="s">
        <v>22</v>
      </c>
      <c r="AC3" s="56" t="s">
        <v>23</v>
      </c>
      <c r="AD3" s="54" t="s">
        <v>22</v>
      </c>
      <c r="AE3" s="54" t="s">
        <v>23</v>
      </c>
      <c r="AF3" s="54" t="s">
        <v>22</v>
      </c>
      <c r="AG3" s="54" t="s">
        <v>24</v>
      </c>
      <c r="AH3" s="54" t="s">
        <v>23</v>
      </c>
      <c r="AI3" s="54" t="s">
        <v>22</v>
      </c>
      <c r="AJ3" s="59" t="s">
        <v>23</v>
      </c>
      <c r="AK3" s="59" t="s">
        <v>22</v>
      </c>
      <c r="AL3" s="55" t="s">
        <v>23</v>
      </c>
      <c r="AM3" s="54" t="s">
        <v>22</v>
      </c>
      <c r="AN3" s="79" t="s">
        <v>25</v>
      </c>
      <c r="AO3" s="60" t="s">
        <v>109</v>
      </c>
      <c r="AP3" s="60" t="s">
        <v>112</v>
      </c>
      <c r="AQ3" s="60" t="s">
        <v>111</v>
      </c>
    </row>
    <row r="4" spans="1:43" ht="72" x14ac:dyDescent="0.25">
      <c r="A4" s="673" t="s">
        <v>59</v>
      </c>
      <c r="B4" s="673" t="s">
        <v>60</v>
      </c>
      <c r="C4" s="673" t="s">
        <v>61</v>
      </c>
      <c r="D4" s="673" t="s">
        <v>62</v>
      </c>
      <c r="E4" s="673" t="s">
        <v>63</v>
      </c>
      <c r="F4" s="72" t="s">
        <v>64</v>
      </c>
      <c r="G4" s="63"/>
      <c r="H4" s="63"/>
      <c r="I4" s="74" t="s">
        <v>65</v>
      </c>
      <c r="J4" s="73" t="s">
        <v>66</v>
      </c>
      <c r="K4" s="75">
        <v>85</v>
      </c>
      <c r="L4" s="76">
        <f>K4/S4</f>
        <v>0.25</v>
      </c>
      <c r="M4" s="75">
        <v>170</v>
      </c>
      <c r="N4" s="76">
        <f>M4/S4</f>
        <v>0.5</v>
      </c>
      <c r="O4" s="75">
        <v>255</v>
      </c>
      <c r="P4" s="76">
        <f>O4/S4</f>
        <v>0.75</v>
      </c>
      <c r="Q4" s="75">
        <v>340</v>
      </c>
      <c r="R4" s="76">
        <f>Q4/S4</f>
        <v>1</v>
      </c>
      <c r="S4" s="77">
        <v>340</v>
      </c>
      <c r="T4" s="78">
        <v>500000000</v>
      </c>
      <c r="U4" s="78">
        <f>+T4*L4</f>
        <v>125000000</v>
      </c>
      <c r="V4" s="76">
        <f>+U4/T4</f>
        <v>0.25</v>
      </c>
      <c r="W4" s="78">
        <f>+T4*(N4-L4)</f>
        <v>125000000</v>
      </c>
      <c r="X4" s="76">
        <f>+W4/T4</f>
        <v>0.25</v>
      </c>
      <c r="Y4" s="78">
        <f>+T4*(P4-N4)</f>
        <v>125000000</v>
      </c>
      <c r="Z4" s="76">
        <f>+Y4/T4</f>
        <v>0.25</v>
      </c>
      <c r="AA4" s="78">
        <f>+T4*(R4-P4)</f>
        <v>125000000</v>
      </c>
      <c r="AB4" s="76">
        <f>+AA4/T4</f>
        <v>0.25</v>
      </c>
      <c r="AC4" s="68"/>
      <c r="AD4" s="65"/>
      <c r="AE4" s="68"/>
      <c r="AF4" s="65"/>
      <c r="AG4" s="63"/>
      <c r="AH4" s="63"/>
      <c r="AI4" s="63"/>
      <c r="AJ4" s="69"/>
      <c r="AK4" s="70"/>
      <c r="AL4" s="63"/>
      <c r="AM4" s="63"/>
      <c r="AN4" s="63"/>
      <c r="AO4" s="73" t="s">
        <v>67</v>
      </c>
      <c r="AP4" s="62"/>
      <c r="AQ4" s="62"/>
    </row>
    <row r="5" spans="1:43" ht="72" x14ac:dyDescent="0.25">
      <c r="A5" s="674"/>
      <c r="B5" s="674"/>
      <c r="C5" s="674"/>
      <c r="D5" s="674"/>
      <c r="E5" s="674"/>
      <c r="F5" s="72" t="s">
        <v>68</v>
      </c>
      <c r="G5" s="63"/>
      <c r="H5" s="63"/>
      <c r="I5" s="74" t="s">
        <v>69</v>
      </c>
      <c r="J5" s="73" t="s">
        <v>70</v>
      </c>
      <c r="K5" s="75">
        <v>60</v>
      </c>
      <c r="L5" s="76">
        <f t="shared" ref="L5:L16" si="0">K5/S5</f>
        <v>0.24489795918367346</v>
      </c>
      <c r="M5" s="75">
        <v>120</v>
      </c>
      <c r="N5" s="76">
        <f t="shared" ref="N5:N16" si="1">M5/S5</f>
        <v>0.48979591836734693</v>
      </c>
      <c r="O5" s="75">
        <v>180</v>
      </c>
      <c r="P5" s="76">
        <f t="shared" ref="P5:P16" si="2">O5/S5</f>
        <v>0.73469387755102045</v>
      </c>
      <c r="Q5" s="75">
        <v>245</v>
      </c>
      <c r="R5" s="76">
        <f t="shared" ref="R5:R16" si="3">Q5/S5</f>
        <v>1</v>
      </c>
      <c r="S5" s="77">
        <v>245</v>
      </c>
      <c r="T5" s="78">
        <v>2000000000</v>
      </c>
      <c r="U5" s="78">
        <f t="shared" ref="U5:U16" si="4">+T5*L5</f>
        <v>489795918.36734694</v>
      </c>
      <c r="V5" s="76">
        <f t="shared" ref="V5:V16" si="5">+U5/T5</f>
        <v>0.24489795918367346</v>
      </c>
      <c r="W5" s="78">
        <f t="shared" ref="W5:W16" si="6">+T5*(N5-L5)</f>
        <v>489795918.36734694</v>
      </c>
      <c r="X5" s="76">
        <f t="shared" ref="X5:X16" si="7">+W5/T5</f>
        <v>0.24489795918367346</v>
      </c>
      <c r="Y5" s="78">
        <f t="shared" ref="Y5:Y16" si="8">+T5*(P5-N5)</f>
        <v>489795918.36734706</v>
      </c>
      <c r="Z5" s="76">
        <f t="shared" ref="Z5:Z16" si="9">+Y5/T5</f>
        <v>0.24489795918367352</v>
      </c>
      <c r="AA5" s="78">
        <f t="shared" ref="AA5:AA16" si="10">+T5*(R5-P5)</f>
        <v>530612244.89795911</v>
      </c>
      <c r="AB5" s="76">
        <f t="shared" ref="AB5:AB16" si="11">+AA5/T5</f>
        <v>0.26530612244897955</v>
      </c>
      <c r="AC5" s="68"/>
      <c r="AD5" s="65"/>
      <c r="AE5" s="68"/>
      <c r="AF5" s="65"/>
      <c r="AG5" s="63"/>
      <c r="AH5" s="63"/>
      <c r="AI5" s="68"/>
      <c r="AJ5" s="69"/>
      <c r="AK5" s="70"/>
      <c r="AL5" s="63"/>
      <c r="AM5" s="63"/>
      <c r="AN5" s="63"/>
      <c r="AO5" s="73" t="s">
        <v>67</v>
      </c>
      <c r="AP5" s="62"/>
      <c r="AQ5" s="62"/>
    </row>
    <row r="6" spans="1:43" ht="60" x14ac:dyDescent="0.25">
      <c r="A6" s="674"/>
      <c r="B6" s="674"/>
      <c r="C6" s="674"/>
      <c r="D6" s="674"/>
      <c r="E6" s="674"/>
      <c r="F6" s="72" t="s">
        <v>71</v>
      </c>
      <c r="G6" s="63"/>
      <c r="H6" s="63"/>
      <c r="I6" s="74" t="s">
        <v>72</v>
      </c>
      <c r="J6" s="73" t="s">
        <v>73</v>
      </c>
      <c r="K6" s="75">
        <v>0</v>
      </c>
      <c r="L6" s="76">
        <f t="shared" si="0"/>
        <v>0</v>
      </c>
      <c r="M6" s="75">
        <v>6</v>
      </c>
      <c r="N6" s="76">
        <f t="shared" si="1"/>
        <v>0.5</v>
      </c>
      <c r="O6" s="75">
        <v>11</v>
      </c>
      <c r="P6" s="76">
        <f t="shared" si="2"/>
        <v>0.91666666666666663</v>
      </c>
      <c r="Q6" s="75">
        <v>12</v>
      </c>
      <c r="R6" s="76">
        <f t="shared" si="3"/>
        <v>1</v>
      </c>
      <c r="S6" s="77">
        <v>12</v>
      </c>
      <c r="T6" s="78">
        <v>2000000000</v>
      </c>
      <c r="U6" s="78">
        <f t="shared" si="4"/>
        <v>0</v>
      </c>
      <c r="V6" s="76">
        <f t="shared" si="5"/>
        <v>0</v>
      </c>
      <c r="W6" s="78">
        <f t="shared" si="6"/>
        <v>1000000000</v>
      </c>
      <c r="X6" s="76">
        <f t="shared" si="7"/>
        <v>0.5</v>
      </c>
      <c r="Y6" s="78">
        <f t="shared" si="8"/>
        <v>833333333.33333325</v>
      </c>
      <c r="Z6" s="76">
        <f t="shared" si="9"/>
        <v>0.41666666666666663</v>
      </c>
      <c r="AA6" s="78">
        <f t="shared" si="10"/>
        <v>166666666.66666675</v>
      </c>
      <c r="AB6" s="76">
        <f t="shared" si="11"/>
        <v>8.333333333333337E-2</v>
      </c>
      <c r="AC6" s="68"/>
      <c r="AD6" s="65"/>
      <c r="AE6" s="68"/>
      <c r="AF6" s="65"/>
      <c r="AG6" s="63"/>
      <c r="AH6" s="63"/>
      <c r="AI6" s="63"/>
      <c r="AJ6" s="71"/>
      <c r="AK6" s="70"/>
      <c r="AL6" s="63"/>
      <c r="AM6" s="63"/>
      <c r="AN6" s="63"/>
      <c r="AO6" s="73" t="s">
        <v>67</v>
      </c>
      <c r="AP6" s="62"/>
      <c r="AQ6" s="62"/>
    </row>
    <row r="7" spans="1:43" ht="108" x14ac:dyDescent="0.25">
      <c r="A7" s="674"/>
      <c r="B7" s="674"/>
      <c r="C7" s="674"/>
      <c r="D7" s="674"/>
      <c r="E7" s="674"/>
      <c r="F7" s="72" t="s">
        <v>74</v>
      </c>
      <c r="G7" s="63"/>
      <c r="H7" s="63"/>
      <c r="I7" s="74" t="s">
        <v>75</v>
      </c>
      <c r="J7" s="73" t="s">
        <v>76</v>
      </c>
      <c r="K7" s="75">
        <v>66</v>
      </c>
      <c r="L7" s="76">
        <f t="shared" si="0"/>
        <v>0.25</v>
      </c>
      <c r="M7" s="75">
        <v>132</v>
      </c>
      <c r="N7" s="76">
        <f t="shared" si="1"/>
        <v>0.5</v>
      </c>
      <c r="O7" s="75">
        <v>198</v>
      </c>
      <c r="P7" s="76">
        <f t="shared" si="2"/>
        <v>0.75</v>
      </c>
      <c r="Q7" s="75">
        <v>264</v>
      </c>
      <c r="R7" s="76">
        <f t="shared" si="3"/>
        <v>1</v>
      </c>
      <c r="S7" s="77">
        <v>264</v>
      </c>
      <c r="T7" s="78">
        <v>600000000</v>
      </c>
      <c r="U7" s="78">
        <f t="shared" si="4"/>
        <v>150000000</v>
      </c>
      <c r="V7" s="76">
        <f t="shared" si="5"/>
        <v>0.25</v>
      </c>
      <c r="W7" s="78">
        <f t="shared" si="6"/>
        <v>150000000</v>
      </c>
      <c r="X7" s="76">
        <f t="shared" si="7"/>
        <v>0.25</v>
      </c>
      <c r="Y7" s="78">
        <f t="shared" si="8"/>
        <v>150000000</v>
      </c>
      <c r="Z7" s="76">
        <f t="shared" si="9"/>
        <v>0.25</v>
      </c>
      <c r="AA7" s="78">
        <f t="shared" si="10"/>
        <v>150000000</v>
      </c>
      <c r="AB7" s="76">
        <f t="shared" si="11"/>
        <v>0.25</v>
      </c>
      <c r="AC7" s="68"/>
      <c r="AD7" s="65"/>
      <c r="AE7" s="68"/>
      <c r="AF7" s="65"/>
      <c r="AG7" s="63"/>
      <c r="AH7" s="63"/>
      <c r="AI7" s="63"/>
      <c r="AJ7" s="69"/>
      <c r="AK7" s="70"/>
      <c r="AL7" s="63"/>
      <c r="AM7" s="63"/>
      <c r="AN7" s="63"/>
      <c r="AO7" s="73" t="s">
        <v>67</v>
      </c>
      <c r="AP7" s="62"/>
      <c r="AQ7" s="62"/>
    </row>
    <row r="8" spans="1:43" ht="72" x14ac:dyDescent="0.25">
      <c r="A8" s="674"/>
      <c r="B8" s="674"/>
      <c r="C8" s="674"/>
      <c r="D8" s="674"/>
      <c r="E8" s="73"/>
      <c r="F8" s="74" t="s">
        <v>77</v>
      </c>
      <c r="G8" s="63"/>
      <c r="H8" s="63"/>
      <c r="I8" s="74" t="s">
        <v>78</v>
      </c>
      <c r="J8" s="73" t="s">
        <v>79</v>
      </c>
      <c r="K8" s="75">
        <v>1000</v>
      </c>
      <c r="L8" s="76">
        <f t="shared" si="0"/>
        <v>0.25</v>
      </c>
      <c r="M8" s="75">
        <v>2250</v>
      </c>
      <c r="N8" s="76">
        <f t="shared" si="1"/>
        <v>0.5625</v>
      </c>
      <c r="O8" s="75">
        <v>3500</v>
      </c>
      <c r="P8" s="76">
        <f t="shared" si="2"/>
        <v>0.875</v>
      </c>
      <c r="Q8" s="75">
        <v>4000</v>
      </c>
      <c r="R8" s="76">
        <f t="shared" si="3"/>
        <v>1</v>
      </c>
      <c r="S8" s="77">
        <v>4000</v>
      </c>
      <c r="T8" s="78">
        <v>570000000</v>
      </c>
      <c r="U8" s="78">
        <f t="shared" si="4"/>
        <v>142500000</v>
      </c>
      <c r="V8" s="76">
        <f t="shared" si="5"/>
        <v>0.25</v>
      </c>
      <c r="W8" s="78">
        <f t="shared" si="6"/>
        <v>178125000</v>
      </c>
      <c r="X8" s="76">
        <f t="shared" si="7"/>
        <v>0.3125</v>
      </c>
      <c r="Y8" s="78">
        <f t="shared" si="8"/>
        <v>178125000</v>
      </c>
      <c r="Z8" s="76">
        <f t="shared" si="9"/>
        <v>0.3125</v>
      </c>
      <c r="AA8" s="78">
        <f t="shared" si="10"/>
        <v>71250000</v>
      </c>
      <c r="AB8" s="76">
        <f t="shared" si="11"/>
        <v>0.125</v>
      </c>
      <c r="AC8" s="68"/>
      <c r="AD8" s="65"/>
      <c r="AE8" s="68"/>
      <c r="AF8" s="65"/>
      <c r="AG8" s="63"/>
      <c r="AH8" s="63"/>
      <c r="AI8" s="63"/>
      <c r="AJ8" s="71"/>
      <c r="AK8" s="70"/>
      <c r="AL8" s="63"/>
      <c r="AM8" s="63"/>
      <c r="AN8" s="63"/>
      <c r="AO8" s="73" t="s">
        <v>67</v>
      </c>
      <c r="AP8" s="62"/>
      <c r="AQ8" s="62"/>
    </row>
    <row r="9" spans="1:43" ht="120" x14ac:dyDescent="0.25">
      <c r="A9" s="674"/>
      <c r="B9" s="674"/>
      <c r="C9" s="674"/>
      <c r="D9" s="674"/>
      <c r="E9" s="73"/>
      <c r="F9" s="74" t="s">
        <v>80</v>
      </c>
      <c r="G9" s="63"/>
      <c r="H9" s="63"/>
      <c r="I9" s="74" t="s">
        <v>81</v>
      </c>
      <c r="J9" s="73" t="s">
        <v>82</v>
      </c>
      <c r="K9" s="75">
        <v>100</v>
      </c>
      <c r="L9" s="76">
        <f t="shared" si="0"/>
        <v>0.1</v>
      </c>
      <c r="M9" s="75">
        <v>450</v>
      </c>
      <c r="N9" s="76">
        <f t="shared" si="1"/>
        <v>0.45</v>
      </c>
      <c r="O9" s="75">
        <v>800</v>
      </c>
      <c r="P9" s="76">
        <f t="shared" si="2"/>
        <v>0.8</v>
      </c>
      <c r="Q9" s="75">
        <v>1000</v>
      </c>
      <c r="R9" s="76">
        <f t="shared" si="3"/>
        <v>1</v>
      </c>
      <c r="S9" s="77">
        <v>1000</v>
      </c>
      <c r="T9" s="78">
        <v>100000000</v>
      </c>
      <c r="U9" s="78">
        <f t="shared" si="4"/>
        <v>10000000</v>
      </c>
      <c r="V9" s="76">
        <f t="shared" si="5"/>
        <v>0.1</v>
      </c>
      <c r="W9" s="78">
        <f t="shared" si="6"/>
        <v>35000000</v>
      </c>
      <c r="X9" s="76">
        <f t="shared" si="7"/>
        <v>0.35</v>
      </c>
      <c r="Y9" s="78">
        <f t="shared" si="8"/>
        <v>35000000</v>
      </c>
      <c r="Z9" s="76">
        <f t="shared" si="9"/>
        <v>0.35</v>
      </c>
      <c r="AA9" s="78">
        <f t="shared" si="10"/>
        <v>19999999.999999996</v>
      </c>
      <c r="AB9" s="76">
        <f t="shared" si="11"/>
        <v>0.19999999999999996</v>
      </c>
      <c r="AC9" s="68"/>
      <c r="AD9" s="65"/>
      <c r="AE9" s="68"/>
      <c r="AF9" s="65"/>
      <c r="AG9" s="63"/>
      <c r="AH9" s="63"/>
      <c r="AI9" s="63"/>
      <c r="AJ9" s="71"/>
      <c r="AK9" s="70"/>
      <c r="AL9" s="63"/>
      <c r="AM9" s="63"/>
      <c r="AN9" s="63"/>
      <c r="AO9" s="73" t="s">
        <v>67</v>
      </c>
      <c r="AP9" s="62"/>
      <c r="AQ9" s="62"/>
    </row>
    <row r="10" spans="1:43" ht="72" x14ac:dyDescent="0.25">
      <c r="A10" s="674"/>
      <c r="B10" s="674"/>
      <c r="C10" s="674"/>
      <c r="D10" s="675"/>
      <c r="E10" s="73"/>
      <c r="F10" s="74" t="s">
        <v>83</v>
      </c>
      <c r="G10" s="63"/>
      <c r="H10" s="63"/>
      <c r="I10" s="74" t="s">
        <v>84</v>
      </c>
      <c r="J10" s="73" t="s">
        <v>85</v>
      </c>
      <c r="K10" s="75">
        <v>4</v>
      </c>
      <c r="L10" s="76">
        <f t="shared" si="0"/>
        <v>0.2</v>
      </c>
      <c r="M10" s="75">
        <v>10</v>
      </c>
      <c r="N10" s="76">
        <f t="shared" si="1"/>
        <v>0.5</v>
      </c>
      <c r="O10" s="75">
        <v>16</v>
      </c>
      <c r="P10" s="76">
        <f t="shared" si="2"/>
        <v>0.8</v>
      </c>
      <c r="Q10" s="75">
        <v>20</v>
      </c>
      <c r="R10" s="76">
        <f t="shared" si="3"/>
        <v>1</v>
      </c>
      <c r="S10" s="77">
        <v>20</v>
      </c>
      <c r="T10" s="78">
        <v>1400000000</v>
      </c>
      <c r="U10" s="78">
        <f t="shared" si="4"/>
        <v>280000000</v>
      </c>
      <c r="V10" s="76">
        <f t="shared" si="5"/>
        <v>0.2</v>
      </c>
      <c r="W10" s="78">
        <f t="shared" si="6"/>
        <v>420000000</v>
      </c>
      <c r="X10" s="76">
        <f t="shared" si="7"/>
        <v>0.3</v>
      </c>
      <c r="Y10" s="78">
        <f t="shared" si="8"/>
        <v>420000000.00000006</v>
      </c>
      <c r="Z10" s="76">
        <f t="shared" si="9"/>
        <v>0.30000000000000004</v>
      </c>
      <c r="AA10" s="78">
        <f t="shared" si="10"/>
        <v>279999999.99999994</v>
      </c>
      <c r="AB10" s="76">
        <f t="shared" si="11"/>
        <v>0.19999999999999996</v>
      </c>
      <c r="AC10" s="68"/>
      <c r="AD10" s="65"/>
      <c r="AE10" s="68"/>
      <c r="AF10" s="65"/>
      <c r="AG10" s="63"/>
      <c r="AH10" s="63"/>
      <c r="AI10" s="63"/>
      <c r="AJ10" s="69"/>
      <c r="AK10" s="70"/>
      <c r="AL10" s="63"/>
      <c r="AM10" s="63"/>
      <c r="AN10" s="63"/>
      <c r="AO10" s="73" t="s">
        <v>67</v>
      </c>
      <c r="AP10" s="62"/>
      <c r="AQ10" s="62"/>
    </row>
    <row r="11" spans="1:43" ht="108" x14ac:dyDescent="0.25">
      <c r="A11" s="674"/>
      <c r="B11" s="674"/>
      <c r="C11" s="674"/>
      <c r="D11" s="676" t="s">
        <v>86</v>
      </c>
      <c r="E11" s="73"/>
      <c r="F11" s="74" t="s">
        <v>87</v>
      </c>
      <c r="G11" s="61"/>
      <c r="H11" s="61"/>
      <c r="I11" s="74" t="s">
        <v>88</v>
      </c>
      <c r="J11" s="73" t="s">
        <v>89</v>
      </c>
      <c r="K11" s="75">
        <v>1000</v>
      </c>
      <c r="L11" s="76">
        <f t="shared" si="0"/>
        <v>0.14285714285714285</v>
      </c>
      <c r="M11" s="75">
        <v>3500</v>
      </c>
      <c r="N11" s="76">
        <f t="shared" si="1"/>
        <v>0.5</v>
      </c>
      <c r="O11" s="75">
        <v>6000</v>
      </c>
      <c r="P11" s="76">
        <f t="shared" si="2"/>
        <v>0.8571428571428571</v>
      </c>
      <c r="Q11" s="75">
        <v>7000</v>
      </c>
      <c r="R11" s="76">
        <f t="shared" si="3"/>
        <v>1</v>
      </c>
      <c r="S11" s="77">
        <v>7000</v>
      </c>
      <c r="T11" s="78">
        <v>4900000000</v>
      </c>
      <c r="U11" s="78">
        <f t="shared" si="4"/>
        <v>700000000</v>
      </c>
      <c r="V11" s="76">
        <f t="shared" si="5"/>
        <v>0.14285714285714285</v>
      </c>
      <c r="W11" s="78">
        <f>+T11*(N11-L11)</f>
        <v>1750000000</v>
      </c>
      <c r="X11" s="76">
        <f t="shared" si="7"/>
        <v>0.35714285714285715</v>
      </c>
      <c r="Y11" s="78">
        <f t="shared" si="8"/>
        <v>1749999999.9999998</v>
      </c>
      <c r="Z11" s="76">
        <f t="shared" si="9"/>
        <v>0.3571428571428571</v>
      </c>
      <c r="AA11" s="78">
        <f t="shared" si="10"/>
        <v>700000000.00000024</v>
      </c>
      <c r="AB11" s="76">
        <f t="shared" si="11"/>
        <v>0.1428571428571429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73" t="s">
        <v>90</v>
      </c>
      <c r="AP11" s="61"/>
      <c r="AQ11" s="61"/>
    </row>
    <row r="12" spans="1:43" ht="84" x14ac:dyDescent="0.25">
      <c r="A12" s="674"/>
      <c r="B12" s="674"/>
      <c r="C12" s="674"/>
      <c r="D12" s="676"/>
      <c r="E12" s="673" t="s">
        <v>91</v>
      </c>
      <c r="F12" s="74" t="s">
        <v>92</v>
      </c>
      <c r="G12" s="61"/>
      <c r="H12" s="61"/>
      <c r="I12" s="74" t="s">
        <v>93</v>
      </c>
      <c r="J12" s="73" t="s">
        <v>89</v>
      </c>
      <c r="K12" s="75">
        <v>1000</v>
      </c>
      <c r="L12" s="76">
        <f t="shared" si="0"/>
        <v>0.2</v>
      </c>
      <c r="M12" s="75">
        <v>2500</v>
      </c>
      <c r="N12" s="76">
        <f t="shared" si="1"/>
        <v>0.5</v>
      </c>
      <c r="O12" s="75">
        <v>4000</v>
      </c>
      <c r="P12" s="76">
        <f t="shared" si="2"/>
        <v>0.8</v>
      </c>
      <c r="Q12" s="75">
        <v>5000</v>
      </c>
      <c r="R12" s="76">
        <f t="shared" si="3"/>
        <v>1</v>
      </c>
      <c r="S12" s="77">
        <v>5000</v>
      </c>
      <c r="T12" s="78">
        <v>350000000</v>
      </c>
      <c r="U12" s="78">
        <f t="shared" si="4"/>
        <v>70000000</v>
      </c>
      <c r="V12" s="76">
        <f t="shared" si="5"/>
        <v>0.2</v>
      </c>
      <c r="W12" s="78">
        <f t="shared" si="6"/>
        <v>105000000</v>
      </c>
      <c r="X12" s="76">
        <f t="shared" si="7"/>
        <v>0.3</v>
      </c>
      <c r="Y12" s="78">
        <f t="shared" si="8"/>
        <v>105000000.00000001</v>
      </c>
      <c r="Z12" s="76">
        <f t="shared" si="9"/>
        <v>0.30000000000000004</v>
      </c>
      <c r="AA12" s="78">
        <f t="shared" si="10"/>
        <v>69999999.999999985</v>
      </c>
      <c r="AB12" s="76">
        <f t="shared" si="11"/>
        <v>0.19999999999999996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73" t="s">
        <v>67</v>
      </c>
      <c r="AP12" s="61"/>
      <c r="AQ12" s="61"/>
    </row>
    <row r="13" spans="1:43" ht="60" x14ac:dyDescent="0.25">
      <c r="A13" s="674"/>
      <c r="B13" s="674"/>
      <c r="C13" s="674"/>
      <c r="D13" s="676"/>
      <c r="E13" s="675"/>
      <c r="F13" s="74" t="s">
        <v>94</v>
      </c>
      <c r="G13" s="61"/>
      <c r="H13" s="61"/>
      <c r="I13" s="74" t="s">
        <v>95</v>
      </c>
      <c r="J13" s="73" t="s">
        <v>96</v>
      </c>
      <c r="K13" s="75">
        <v>0</v>
      </c>
      <c r="L13" s="76">
        <f t="shared" si="0"/>
        <v>0</v>
      </c>
      <c r="M13" s="75">
        <v>1</v>
      </c>
      <c r="N13" s="76">
        <f t="shared" si="1"/>
        <v>0.33333333333333331</v>
      </c>
      <c r="O13" s="75">
        <v>3</v>
      </c>
      <c r="P13" s="76">
        <f t="shared" si="2"/>
        <v>1</v>
      </c>
      <c r="Q13" s="75">
        <v>3</v>
      </c>
      <c r="R13" s="76">
        <f t="shared" si="3"/>
        <v>1</v>
      </c>
      <c r="S13" s="77">
        <v>3</v>
      </c>
      <c r="T13" s="78">
        <v>50000000</v>
      </c>
      <c r="U13" s="78">
        <f t="shared" si="4"/>
        <v>0</v>
      </c>
      <c r="V13" s="76">
        <f t="shared" si="5"/>
        <v>0</v>
      </c>
      <c r="W13" s="78">
        <f t="shared" si="6"/>
        <v>16666666.666666666</v>
      </c>
      <c r="X13" s="76">
        <f t="shared" si="7"/>
        <v>0.33333333333333331</v>
      </c>
      <c r="Y13" s="78">
        <f t="shared" si="8"/>
        <v>33333333.333333336</v>
      </c>
      <c r="Z13" s="76">
        <f t="shared" si="9"/>
        <v>0.66666666666666674</v>
      </c>
      <c r="AA13" s="78">
        <f t="shared" si="10"/>
        <v>0</v>
      </c>
      <c r="AB13" s="76">
        <f t="shared" si="11"/>
        <v>0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73" t="s">
        <v>97</v>
      </c>
      <c r="AP13" s="61"/>
      <c r="AQ13" s="61"/>
    </row>
    <row r="14" spans="1:43" ht="84" x14ac:dyDescent="0.25">
      <c r="A14" s="674"/>
      <c r="B14" s="674"/>
      <c r="C14" s="674"/>
      <c r="D14" s="673" t="s">
        <v>98</v>
      </c>
      <c r="E14" s="73"/>
      <c r="F14" s="74" t="s">
        <v>99</v>
      </c>
      <c r="G14" s="61"/>
      <c r="H14" s="61"/>
      <c r="I14" s="74" t="s">
        <v>100</v>
      </c>
      <c r="J14" s="73" t="s">
        <v>89</v>
      </c>
      <c r="K14" s="75">
        <v>1500</v>
      </c>
      <c r="L14" s="76">
        <f t="shared" si="0"/>
        <v>0.3</v>
      </c>
      <c r="M14" s="75">
        <v>3000</v>
      </c>
      <c r="N14" s="76">
        <f t="shared" si="1"/>
        <v>0.6</v>
      </c>
      <c r="O14" s="75">
        <v>4000</v>
      </c>
      <c r="P14" s="76">
        <f t="shared" si="2"/>
        <v>0.8</v>
      </c>
      <c r="Q14" s="75">
        <v>5000</v>
      </c>
      <c r="R14" s="76">
        <f t="shared" si="3"/>
        <v>1</v>
      </c>
      <c r="S14" s="77">
        <v>5000</v>
      </c>
      <c r="T14" s="78">
        <v>300000000</v>
      </c>
      <c r="U14" s="78">
        <f t="shared" si="4"/>
        <v>90000000</v>
      </c>
      <c r="V14" s="76">
        <f t="shared" si="5"/>
        <v>0.3</v>
      </c>
      <c r="W14" s="78">
        <f t="shared" si="6"/>
        <v>90000000</v>
      </c>
      <c r="X14" s="76">
        <f t="shared" si="7"/>
        <v>0.3</v>
      </c>
      <c r="Y14" s="78">
        <f t="shared" si="8"/>
        <v>60000000.000000022</v>
      </c>
      <c r="Z14" s="76">
        <f t="shared" si="9"/>
        <v>0.20000000000000007</v>
      </c>
      <c r="AA14" s="78">
        <f t="shared" si="10"/>
        <v>59999999.999999985</v>
      </c>
      <c r="AB14" s="76">
        <f t="shared" si="11"/>
        <v>0.19999999999999996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73" t="s">
        <v>101</v>
      </c>
      <c r="AP14" s="61"/>
      <c r="AQ14" s="61"/>
    </row>
    <row r="15" spans="1:43" ht="60" x14ac:dyDescent="0.25">
      <c r="A15" s="674"/>
      <c r="B15" s="674"/>
      <c r="C15" s="674"/>
      <c r="D15" s="675"/>
      <c r="E15" s="73"/>
      <c r="F15" s="74" t="s">
        <v>102</v>
      </c>
      <c r="I15" s="74" t="s">
        <v>103</v>
      </c>
      <c r="J15" s="73" t="s">
        <v>104</v>
      </c>
      <c r="K15" s="75">
        <v>100</v>
      </c>
      <c r="L15" s="76">
        <f t="shared" si="0"/>
        <v>0.1</v>
      </c>
      <c r="M15" s="75">
        <v>450</v>
      </c>
      <c r="N15" s="76">
        <f t="shared" si="1"/>
        <v>0.45</v>
      </c>
      <c r="O15" s="75">
        <v>800</v>
      </c>
      <c r="P15" s="76">
        <f t="shared" si="2"/>
        <v>0.8</v>
      </c>
      <c r="Q15" s="75">
        <v>1000</v>
      </c>
      <c r="R15" s="76">
        <f t="shared" si="3"/>
        <v>1</v>
      </c>
      <c r="S15" s="77">
        <v>1000</v>
      </c>
      <c r="T15" s="78">
        <v>150000000</v>
      </c>
      <c r="U15" s="78">
        <f>+T15*L15</f>
        <v>15000000</v>
      </c>
      <c r="V15" s="76">
        <f t="shared" si="5"/>
        <v>0.1</v>
      </c>
      <c r="W15" s="78">
        <f t="shared" si="6"/>
        <v>52500000</v>
      </c>
      <c r="X15" s="76">
        <f t="shared" si="7"/>
        <v>0.35</v>
      </c>
      <c r="Y15" s="78">
        <f t="shared" si="8"/>
        <v>52500000.000000007</v>
      </c>
      <c r="Z15" s="76">
        <f t="shared" si="9"/>
        <v>0.35000000000000003</v>
      </c>
      <c r="AA15" s="78">
        <f t="shared" si="10"/>
        <v>29999999.999999993</v>
      </c>
      <c r="AB15" s="76">
        <f t="shared" si="11"/>
        <v>0.19999999999999996</v>
      </c>
      <c r="AO15" s="73" t="s">
        <v>101</v>
      </c>
    </row>
    <row r="16" spans="1:43" ht="96" x14ac:dyDescent="0.25">
      <c r="A16" s="675"/>
      <c r="B16" s="675"/>
      <c r="C16" s="675"/>
      <c r="D16" s="73" t="s">
        <v>105</v>
      </c>
      <c r="E16" s="73"/>
      <c r="F16" s="74" t="s">
        <v>106</v>
      </c>
      <c r="I16" s="74" t="s">
        <v>107</v>
      </c>
      <c r="J16" s="73" t="s">
        <v>89</v>
      </c>
      <c r="K16" s="75">
        <v>6000</v>
      </c>
      <c r="L16" s="76">
        <f t="shared" si="0"/>
        <v>0.17142857142857143</v>
      </c>
      <c r="M16" s="75">
        <v>17500</v>
      </c>
      <c r="N16" s="76">
        <f t="shared" si="1"/>
        <v>0.5</v>
      </c>
      <c r="O16" s="75">
        <v>29000</v>
      </c>
      <c r="P16" s="76">
        <f t="shared" si="2"/>
        <v>0.82857142857142863</v>
      </c>
      <c r="Q16" s="75">
        <v>35000</v>
      </c>
      <c r="R16" s="76">
        <f t="shared" si="3"/>
        <v>1</v>
      </c>
      <c r="S16" s="77">
        <v>35000</v>
      </c>
      <c r="T16" s="78">
        <v>2500000000</v>
      </c>
      <c r="U16" s="78">
        <f t="shared" si="4"/>
        <v>428571428.5714286</v>
      </c>
      <c r="V16" s="76">
        <f t="shared" si="5"/>
        <v>0.17142857142857143</v>
      </c>
      <c r="W16" s="78">
        <f t="shared" si="6"/>
        <v>821428571.42857146</v>
      </c>
      <c r="X16" s="76">
        <f t="shared" si="7"/>
        <v>0.32857142857142857</v>
      </c>
      <c r="Y16" s="78">
        <f t="shared" si="8"/>
        <v>821428571.42857158</v>
      </c>
      <c r="Z16" s="76">
        <f t="shared" si="9"/>
        <v>0.32857142857142863</v>
      </c>
      <c r="AA16" s="78">
        <f t="shared" si="10"/>
        <v>428571428.57142842</v>
      </c>
      <c r="AB16" s="76">
        <f t="shared" si="11"/>
        <v>0.17142857142857137</v>
      </c>
      <c r="AO16" s="73" t="s">
        <v>108</v>
      </c>
    </row>
  </sheetData>
  <mergeCells count="37">
    <mergeCell ref="AL2:AN2"/>
    <mergeCell ref="AO1:AQ2"/>
    <mergeCell ref="D4:D10"/>
    <mergeCell ref="AC1:AN1"/>
    <mergeCell ref="G1:G3"/>
    <mergeCell ref="H1:H3"/>
    <mergeCell ref="I1:I3"/>
    <mergeCell ref="J1:J3"/>
    <mergeCell ref="F1:F3"/>
    <mergeCell ref="L1:R1"/>
    <mergeCell ref="U1:AB1"/>
    <mergeCell ref="AA2:AB2"/>
    <mergeCell ref="T1:T3"/>
    <mergeCell ref="S1:S3"/>
    <mergeCell ref="AJ2:AK2"/>
    <mergeCell ref="AC2:AD2"/>
    <mergeCell ref="AE2:AG2"/>
    <mergeCell ref="AH2:AI2"/>
    <mergeCell ref="A1:A3"/>
    <mergeCell ref="B1:B3"/>
    <mergeCell ref="C1:C3"/>
    <mergeCell ref="D1:D3"/>
    <mergeCell ref="E1:E3"/>
    <mergeCell ref="K2:L2"/>
    <mergeCell ref="M2:N2"/>
    <mergeCell ref="O2:P2"/>
    <mergeCell ref="Q2:R2"/>
    <mergeCell ref="U2:V2"/>
    <mergeCell ref="W2:X2"/>
    <mergeCell ref="Y2:Z2"/>
    <mergeCell ref="A4:A16"/>
    <mergeCell ref="B4:B16"/>
    <mergeCell ref="C4:C16"/>
    <mergeCell ref="E4:E7"/>
    <mergeCell ref="D11:D13"/>
    <mergeCell ref="E12:E13"/>
    <mergeCell ref="D14:D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J24" sqref="J24"/>
    </sheetView>
  </sheetViews>
  <sheetFormatPr baseColWidth="10" defaultRowHeight="15" x14ac:dyDescent="0.25"/>
  <cols>
    <col min="1" max="1" width="11.42578125" style="53"/>
    <col min="2" max="2" width="64" bestFit="1" customWidth="1"/>
    <col min="4" max="4" width="11.42578125" style="53"/>
  </cols>
  <sheetData>
    <row r="1" spans="2:5" x14ac:dyDescent="0.25">
      <c r="B1" s="628" t="s">
        <v>1198</v>
      </c>
      <c r="C1" t="s">
        <v>1214</v>
      </c>
      <c r="E1" t="s">
        <v>1217</v>
      </c>
    </row>
    <row r="2" spans="2:5" x14ac:dyDescent="0.25">
      <c r="B2" s="629" t="s">
        <v>1192</v>
      </c>
      <c r="C2" s="61"/>
      <c r="D2" s="782">
        <f>SUM(C2:C15)</f>
        <v>37</v>
      </c>
      <c r="E2" s="1036">
        <v>0.2</v>
      </c>
    </row>
    <row r="3" spans="2:5" x14ac:dyDescent="0.25">
      <c r="B3" s="630" t="s">
        <v>1199</v>
      </c>
      <c r="C3" s="61">
        <v>3</v>
      </c>
      <c r="D3" s="782"/>
      <c r="E3" s="782"/>
    </row>
    <row r="4" spans="2:5" s="53" customFormat="1" x14ac:dyDescent="0.25">
      <c r="B4" s="53" t="s">
        <v>1197</v>
      </c>
      <c r="C4" s="61"/>
      <c r="D4" s="782"/>
      <c r="E4" s="782"/>
    </row>
    <row r="5" spans="2:5" s="53" customFormat="1" x14ac:dyDescent="0.25">
      <c r="B5" s="53" t="s">
        <v>1200</v>
      </c>
      <c r="C5" s="61">
        <v>15</v>
      </c>
      <c r="D5" s="782"/>
      <c r="E5" s="782"/>
    </row>
    <row r="6" spans="2:5" s="53" customFormat="1" x14ac:dyDescent="0.25">
      <c r="B6" s="53" t="s">
        <v>1201</v>
      </c>
      <c r="C6" s="61"/>
      <c r="D6" s="782"/>
      <c r="E6" s="782"/>
    </row>
    <row r="7" spans="2:5" s="81" customFormat="1" x14ac:dyDescent="0.25">
      <c r="B7" s="81" t="s">
        <v>1202</v>
      </c>
      <c r="C7" s="92"/>
      <c r="D7" s="782"/>
      <c r="E7" s="782"/>
    </row>
    <row r="8" spans="2:5" x14ac:dyDescent="0.25">
      <c r="B8" s="631" t="s">
        <v>1207</v>
      </c>
      <c r="C8" s="61"/>
      <c r="D8" s="782"/>
      <c r="E8" s="782"/>
    </row>
    <row r="9" spans="2:5" x14ac:dyDescent="0.25">
      <c r="B9" s="632" t="s">
        <v>1208</v>
      </c>
      <c r="C9" s="61"/>
      <c r="D9" s="782"/>
      <c r="E9" s="782"/>
    </row>
    <row r="10" spans="2:5" s="53" customFormat="1" x14ac:dyDescent="0.25">
      <c r="B10" s="633" t="s">
        <v>1209</v>
      </c>
      <c r="C10" s="61">
        <v>1</v>
      </c>
      <c r="D10" s="782"/>
      <c r="E10" s="782"/>
    </row>
    <row r="11" spans="2:5" s="53" customFormat="1" x14ac:dyDescent="0.25">
      <c r="B11" s="633" t="s">
        <v>1203</v>
      </c>
      <c r="C11" s="61"/>
      <c r="D11" s="782"/>
      <c r="E11" s="782"/>
    </row>
    <row r="12" spans="2:5" s="53" customFormat="1" x14ac:dyDescent="0.25">
      <c r="B12" s="633" t="s">
        <v>1204</v>
      </c>
      <c r="C12" s="61">
        <v>1</v>
      </c>
      <c r="D12" s="782"/>
      <c r="E12" s="782"/>
    </row>
    <row r="13" spans="2:5" s="53" customFormat="1" x14ac:dyDescent="0.25">
      <c r="B13" s="633" t="s">
        <v>1205</v>
      </c>
      <c r="C13" s="61">
        <v>8</v>
      </c>
      <c r="D13" s="782"/>
      <c r="E13" s="782"/>
    </row>
    <row r="14" spans="2:5" s="53" customFormat="1" x14ac:dyDescent="0.25">
      <c r="B14" s="633" t="s">
        <v>1215</v>
      </c>
      <c r="C14" s="61">
        <v>1</v>
      </c>
      <c r="D14" s="782"/>
      <c r="E14" s="782"/>
    </row>
    <row r="15" spans="2:5" s="53" customFormat="1" x14ac:dyDescent="0.25">
      <c r="B15" s="633" t="s">
        <v>1210</v>
      </c>
      <c r="C15" s="61">
        <v>8</v>
      </c>
      <c r="D15" s="782"/>
      <c r="E15" s="782"/>
    </row>
    <row r="16" spans="2:5" s="53" customFormat="1" x14ac:dyDescent="0.25">
      <c r="B16" s="53" t="s">
        <v>1206</v>
      </c>
      <c r="C16" s="61">
        <v>15</v>
      </c>
      <c r="D16" s="782">
        <f>SUM(C16:C20)</f>
        <v>73</v>
      </c>
      <c r="E16" s="1036">
        <v>0.2</v>
      </c>
    </row>
    <row r="17" spans="2:5" x14ac:dyDescent="0.25">
      <c r="B17" s="627" t="s">
        <v>1213</v>
      </c>
      <c r="C17" s="61">
        <v>2</v>
      </c>
      <c r="D17" s="782"/>
      <c r="E17" s="782"/>
    </row>
    <row r="18" spans="2:5" x14ac:dyDescent="0.25">
      <c r="B18" t="s">
        <v>1193</v>
      </c>
      <c r="C18" s="61">
        <v>1</v>
      </c>
      <c r="D18" s="782"/>
      <c r="E18" s="782"/>
    </row>
    <row r="19" spans="2:5" s="53" customFormat="1" x14ac:dyDescent="0.25">
      <c r="B19" s="627" t="s">
        <v>1195</v>
      </c>
      <c r="C19" s="61">
        <v>10</v>
      </c>
      <c r="D19" s="782"/>
      <c r="E19" s="782"/>
    </row>
    <row r="20" spans="2:5" x14ac:dyDescent="0.25">
      <c r="B20" s="627" t="s">
        <v>1194</v>
      </c>
      <c r="C20" s="61">
        <v>45</v>
      </c>
      <c r="D20" s="782"/>
      <c r="E20" s="782"/>
    </row>
    <row r="21" spans="2:5" x14ac:dyDescent="0.25">
      <c r="B21" s="627" t="s">
        <v>1211</v>
      </c>
      <c r="C21" s="61">
        <v>90</v>
      </c>
      <c r="D21" s="782">
        <f>SUM(C21:C24)</f>
        <v>135</v>
      </c>
      <c r="E21" s="1036">
        <v>0.6</v>
      </c>
    </row>
    <row r="22" spans="2:5" s="53" customFormat="1" x14ac:dyDescent="0.25">
      <c r="B22" s="53" t="s">
        <v>1212</v>
      </c>
      <c r="C22" s="61"/>
      <c r="D22" s="782"/>
      <c r="E22" s="782"/>
    </row>
    <row r="23" spans="2:5" s="53" customFormat="1" x14ac:dyDescent="0.25">
      <c r="B23" s="627" t="s">
        <v>1196</v>
      </c>
      <c r="C23" s="61">
        <v>30</v>
      </c>
      <c r="D23" s="782"/>
      <c r="E23" s="782"/>
    </row>
    <row r="24" spans="2:5" x14ac:dyDescent="0.25">
      <c r="B24" s="627" t="s">
        <v>1216</v>
      </c>
      <c r="C24" s="61">
        <v>15</v>
      </c>
      <c r="D24" s="782"/>
      <c r="E24" s="782"/>
    </row>
    <row r="25" spans="2:5" x14ac:dyDescent="0.25">
      <c r="C25">
        <f>SUM(C2:C24)</f>
        <v>245</v>
      </c>
      <c r="E25">
        <f>SUM(E2:E24)</f>
        <v>1</v>
      </c>
    </row>
  </sheetData>
  <mergeCells count="6">
    <mergeCell ref="E2:E15"/>
    <mergeCell ref="E16:E20"/>
    <mergeCell ref="E21:E24"/>
    <mergeCell ref="D2:D15"/>
    <mergeCell ref="D16:D20"/>
    <mergeCell ref="D21:D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83"/>
  <sheetViews>
    <sheetView topLeftCell="A7" workbookViewId="0">
      <selection activeCell="C4" sqref="C4:C12"/>
    </sheetView>
  </sheetViews>
  <sheetFormatPr baseColWidth="10" defaultRowHeight="15" x14ac:dyDescent="0.25"/>
  <cols>
    <col min="1" max="1" width="17.42578125" customWidth="1"/>
    <col min="2" max="3" width="21.7109375" customWidth="1"/>
    <col min="4" max="4" width="36.28515625" customWidth="1"/>
    <col min="5" max="5" width="33.5703125" customWidth="1"/>
    <col min="6" max="6" width="23.7109375" customWidth="1"/>
    <col min="8" max="8" width="15" customWidth="1"/>
    <col min="9" max="9" width="22" customWidth="1"/>
    <col min="10" max="10" width="13" customWidth="1"/>
    <col min="11" max="11" width="5.42578125" customWidth="1"/>
    <col min="12" max="12" width="4.5703125" customWidth="1"/>
    <col min="13" max="13" width="5.28515625" customWidth="1"/>
    <col min="14" max="14" width="5.140625" customWidth="1"/>
    <col min="15" max="15" width="5.28515625" customWidth="1"/>
    <col min="16" max="16" width="4.28515625" customWidth="1"/>
    <col min="17" max="17" width="4.7109375" customWidth="1"/>
    <col min="18" max="18" width="4.28515625" customWidth="1"/>
    <col min="20" max="20" width="14.85546875" customWidth="1"/>
    <col min="21" max="21" width="13.5703125" customWidth="1"/>
    <col min="22" max="22" width="6.42578125" customWidth="1"/>
    <col min="23" max="23" width="13.7109375" customWidth="1"/>
    <col min="24" max="24" width="7.140625" customWidth="1"/>
    <col min="25" max="25" width="14.28515625" customWidth="1"/>
    <col min="26" max="26" width="6.7109375" customWidth="1"/>
    <col min="27" max="27" width="15.28515625" customWidth="1"/>
    <col min="28" max="28" width="6.140625" customWidth="1"/>
    <col min="30" max="30" width="6.85546875" customWidth="1"/>
    <col min="32" max="32" width="6.42578125" customWidth="1"/>
    <col min="35" max="35" width="5.85546875" customWidth="1"/>
    <col min="38" max="38" width="14.85546875" customWidth="1"/>
    <col min="39" max="39" width="7.85546875" customWidth="1"/>
    <col min="40" max="40" width="14.42578125" customWidth="1"/>
    <col min="41" max="41" width="18.85546875" customWidth="1"/>
    <col min="42" max="42" width="13.28515625" customWidth="1"/>
  </cols>
  <sheetData>
    <row r="1" spans="1:43" ht="15" customHeight="1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6</v>
      </c>
      <c r="H1" s="661" t="s">
        <v>7</v>
      </c>
      <c r="I1" s="661" t="s">
        <v>8</v>
      </c>
      <c r="J1" s="662" t="s">
        <v>9</v>
      </c>
      <c r="K1" s="58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6"/>
      <c r="AO1" s="654" t="s">
        <v>15</v>
      </c>
      <c r="AP1" s="655"/>
      <c r="AQ1" s="656"/>
    </row>
    <row r="2" spans="1:43" x14ac:dyDescent="0.25">
      <c r="A2" s="648"/>
      <c r="B2" s="649"/>
      <c r="C2" s="649"/>
      <c r="D2" s="649"/>
      <c r="E2" s="649"/>
      <c r="F2" s="649"/>
      <c r="G2" s="649"/>
      <c r="H2" s="649"/>
      <c r="I2" s="649"/>
      <c r="J2" s="653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53"/>
      <c r="AO2" s="657"/>
      <c r="AP2" s="658"/>
      <c r="AQ2" s="659"/>
    </row>
    <row r="3" spans="1:43" x14ac:dyDescent="0.25">
      <c r="A3" s="677"/>
      <c r="B3" s="678"/>
      <c r="C3" s="678"/>
      <c r="D3" s="678"/>
      <c r="E3" s="678"/>
      <c r="F3" s="678"/>
      <c r="G3" s="678"/>
      <c r="H3" s="678"/>
      <c r="I3" s="678"/>
      <c r="J3" s="680"/>
      <c r="K3" s="56" t="s">
        <v>21</v>
      </c>
      <c r="L3" s="54" t="s">
        <v>22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  <c r="S3" s="669"/>
      <c r="T3" s="667"/>
      <c r="U3" s="56" t="s">
        <v>23</v>
      </c>
      <c r="V3" s="54" t="s">
        <v>22</v>
      </c>
      <c r="W3" s="54" t="s">
        <v>23</v>
      </c>
      <c r="X3" s="54" t="s">
        <v>22</v>
      </c>
      <c r="Y3" s="54" t="s">
        <v>23</v>
      </c>
      <c r="Z3" s="54" t="s">
        <v>22</v>
      </c>
      <c r="AA3" s="54" t="s">
        <v>23</v>
      </c>
      <c r="AB3" s="57" t="s">
        <v>22</v>
      </c>
      <c r="AC3" s="56" t="s">
        <v>23</v>
      </c>
      <c r="AD3" s="54" t="s">
        <v>22</v>
      </c>
      <c r="AE3" s="54" t="s">
        <v>23</v>
      </c>
      <c r="AF3" s="54" t="s">
        <v>22</v>
      </c>
      <c r="AG3" s="54" t="s">
        <v>24</v>
      </c>
      <c r="AH3" s="54" t="s">
        <v>23</v>
      </c>
      <c r="AI3" s="54" t="s">
        <v>22</v>
      </c>
      <c r="AJ3" s="59" t="s">
        <v>23</v>
      </c>
      <c r="AK3" s="59" t="s">
        <v>22</v>
      </c>
      <c r="AL3" s="55" t="s">
        <v>23</v>
      </c>
      <c r="AM3" s="54" t="s">
        <v>22</v>
      </c>
      <c r="AN3" s="79" t="s">
        <v>25</v>
      </c>
      <c r="AO3" s="60" t="s">
        <v>109</v>
      </c>
      <c r="AP3" s="60" t="s">
        <v>113</v>
      </c>
      <c r="AQ3" s="60" t="s">
        <v>111</v>
      </c>
    </row>
    <row r="4" spans="1:43" ht="42" customHeight="1" x14ac:dyDescent="0.25">
      <c r="A4" s="687" t="s">
        <v>26</v>
      </c>
      <c r="B4" s="687" t="s">
        <v>128</v>
      </c>
      <c r="C4" s="687" t="s">
        <v>129</v>
      </c>
      <c r="D4" s="687" t="s">
        <v>139</v>
      </c>
      <c r="E4" s="236"/>
      <c r="F4" s="186" t="s">
        <v>161</v>
      </c>
      <c r="G4" s="92"/>
      <c r="H4" s="101" t="s">
        <v>227</v>
      </c>
      <c r="I4" s="85" t="s">
        <v>228</v>
      </c>
      <c r="J4" s="85" t="s">
        <v>229</v>
      </c>
      <c r="K4" s="92">
        <v>24</v>
      </c>
      <c r="L4" s="138">
        <v>25</v>
      </c>
      <c r="M4" s="92">
        <v>24</v>
      </c>
      <c r="N4" s="138">
        <v>50</v>
      </c>
      <c r="O4" s="92">
        <v>24</v>
      </c>
      <c r="P4" s="138">
        <v>75</v>
      </c>
      <c r="Q4" s="92">
        <v>24</v>
      </c>
      <c r="R4" s="138">
        <v>100</v>
      </c>
      <c r="S4" s="66"/>
      <c r="T4" s="139">
        <v>120000</v>
      </c>
      <c r="U4" s="139">
        <v>30000</v>
      </c>
      <c r="V4" s="138">
        <f>U4*100/T4</f>
        <v>25</v>
      </c>
      <c r="W4" s="139">
        <v>30000</v>
      </c>
      <c r="X4" s="138">
        <f>W4*100/T4</f>
        <v>25</v>
      </c>
      <c r="Y4" s="139">
        <v>30000</v>
      </c>
      <c r="Z4" s="138">
        <v>25</v>
      </c>
      <c r="AA4" s="139">
        <v>30000</v>
      </c>
      <c r="AB4" s="138">
        <v>25</v>
      </c>
      <c r="AC4" s="92"/>
      <c r="AD4" s="138">
        <v>100</v>
      </c>
      <c r="AE4" s="92"/>
      <c r="AF4" s="138"/>
      <c r="AG4" s="92"/>
      <c r="AH4" s="92"/>
      <c r="AI4" s="138"/>
      <c r="AJ4" s="69"/>
      <c r="AK4" s="70"/>
      <c r="AL4" s="92"/>
      <c r="AM4" s="138"/>
      <c r="AN4" s="92"/>
      <c r="AO4" s="224" t="s">
        <v>378</v>
      </c>
      <c r="AP4" s="687" t="s">
        <v>26</v>
      </c>
      <c r="AQ4" s="62"/>
    </row>
    <row r="5" spans="1:43" ht="104.25" customHeight="1" x14ac:dyDescent="0.25">
      <c r="A5" s="688"/>
      <c r="B5" s="688"/>
      <c r="C5" s="688"/>
      <c r="D5" s="688"/>
      <c r="E5" s="237"/>
      <c r="F5" s="89" t="s">
        <v>162</v>
      </c>
      <c r="G5" s="101"/>
      <c r="H5" s="93">
        <v>0</v>
      </c>
      <c r="I5" s="87" t="s">
        <v>230</v>
      </c>
      <c r="J5" s="83" t="s">
        <v>231</v>
      </c>
      <c r="K5" s="140">
        <v>8</v>
      </c>
      <c r="L5" s="141">
        <v>25</v>
      </c>
      <c r="M5" s="140">
        <v>10</v>
      </c>
      <c r="N5" s="141">
        <v>50</v>
      </c>
      <c r="O5" s="140">
        <v>10</v>
      </c>
      <c r="P5" s="141">
        <v>75</v>
      </c>
      <c r="Q5" s="140">
        <v>10</v>
      </c>
      <c r="R5" s="141">
        <v>100</v>
      </c>
      <c r="S5" s="66"/>
      <c r="T5" s="142">
        <v>422400</v>
      </c>
      <c r="U5" s="175">
        <v>105600</v>
      </c>
      <c r="V5" s="138">
        <v>25</v>
      </c>
      <c r="W5" s="175">
        <v>105600</v>
      </c>
      <c r="X5" s="141">
        <v>25</v>
      </c>
      <c r="Y5" s="175">
        <v>105600</v>
      </c>
      <c r="Z5" s="141">
        <v>25</v>
      </c>
      <c r="AA5" s="175">
        <v>105600</v>
      </c>
      <c r="AB5" s="141">
        <v>25</v>
      </c>
      <c r="AC5" s="101"/>
      <c r="AD5" s="141"/>
      <c r="AE5" s="101"/>
      <c r="AF5" s="141"/>
      <c r="AG5" s="101"/>
      <c r="AH5" s="101"/>
      <c r="AI5" s="141"/>
      <c r="AJ5" s="69"/>
      <c r="AK5" s="70"/>
      <c r="AL5" s="101"/>
      <c r="AM5" s="141"/>
      <c r="AN5" s="101"/>
      <c r="AO5" s="225" t="s">
        <v>377</v>
      </c>
      <c r="AP5" s="688"/>
      <c r="AQ5" s="62"/>
    </row>
    <row r="6" spans="1:43" ht="60" x14ac:dyDescent="0.25">
      <c r="A6" s="688"/>
      <c r="B6" s="688"/>
      <c r="C6" s="688"/>
      <c r="D6" s="688"/>
      <c r="E6" s="239"/>
      <c r="F6" s="725" t="s">
        <v>163</v>
      </c>
      <c r="G6" s="134"/>
      <c r="H6" s="87">
        <v>0</v>
      </c>
      <c r="I6" s="102" t="s">
        <v>232</v>
      </c>
      <c r="J6" s="103" t="s">
        <v>233</v>
      </c>
      <c r="K6" s="143">
        <v>4</v>
      </c>
      <c r="L6" s="141" t="s">
        <v>360</v>
      </c>
      <c r="M6" s="101">
        <v>2</v>
      </c>
      <c r="N6" s="141">
        <v>100</v>
      </c>
      <c r="O6" s="101">
        <v>0</v>
      </c>
      <c r="P6" s="141">
        <v>0</v>
      </c>
      <c r="Q6" s="101">
        <v>0</v>
      </c>
      <c r="R6" s="141">
        <v>0</v>
      </c>
      <c r="S6" s="66"/>
      <c r="T6" s="144">
        <v>0</v>
      </c>
      <c r="U6" s="154"/>
      <c r="V6" s="176"/>
      <c r="W6" s="101"/>
      <c r="X6" s="177"/>
      <c r="Y6" s="101"/>
      <c r="Z6" s="141"/>
      <c r="AA6" s="101"/>
      <c r="AB6" s="141"/>
      <c r="AC6" s="101"/>
      <c r="AD6" s="141"/>
      <c r="AE6" s="101"/>
      <c r="AF6" s="141"/>
      <c r="AG6" s="101"/>
      <c r="AH6" s="101"/>
      <c r="AI6" s="141"/>
      <c r="AJ6" s="71"/>
      <c r="AK6" s="70"/>
      <c r="AL6" s="101"/>
      <c r="AM6" s="141"/>
      <c r="AN6" s="187"/>
      <c r="AO6" s="225" t="s">
        <v>378</v>
      </c>
      <c r="AP6" s="688"/>
      <c r="AQ6" s="62"/>
    </row>
    <row r="7" spans="1:43" ht="92.25" customHeight="1" x14ac:dyDescent="0.25">
      <c r="A7" s="688"/>
      <c r="B7" s="688"/>
      <c r="C7" s="688"/>
      <c r="D7" s="688"/>
      <c r="E7" s="238"/>
      <c r="F7" s="726"/>
      <c r="G7" s="107"/>
      <c r="H7" s="83" t="s">
        <v>234</v>
      </c>
      <c r="I7" s="97" t="s">
        <v>235</v>
      </c>
      <c r="J7" s="83" t="s">
        <v>236</v>
      </c>
      <c r="K7" s="83">
        <v>21</v>
      </c>
      <c r="L7" s="145">
        <v>25</v>
      </c>
      <c r="M7" s="146">
        <v>21</v>
      </c>
      <c r="N7" s="145">
        <v>50</v>
      </c>
      <c r="O7" s="146">
        <v>23</v>
      </c>
      <c r="P7" s="145">
        <v>75</v>
      </c>
      <c r="Q7" s="146">
        <v>21</v>
      </c>
      <c r="R7" s="145">
        <v>100</v>
      </c>
      <c r="S7" s="66"/>
      <c r="T7" s="147">
        <v>40000</v>
      </c>
      <c r="U7" s="149">
        <v>10000</v>
      </c>
      <c r="V7" s="138">
        <v>25</v>
      </c>
      <c r="W7" s="149">
        <v>10000</v>
      </c>
      <c r="X7" s="138">
        <v>50</v>
      </c>
      <c r="Y7" s="149">
        <v>10000</v>
      </c>
      <c r="Z7" s="138">
        <v>75</v>
      </c>
      <c r="AA7" s="149">
        <v>10000</v>
      </c>
      <c r="AB7" s="138">
        <v>100</v>
      </c>
      <c r="AC7" s="92"/>
      <c r="AD7" s="138">
        <v>100</v>
      </c>
      <c r="AE7" s="92"/>
      <c r="AF7" s="138"/>
      <c r="AG7" s="107"/>
      <c r="AH7" s="92"/>
      <c r="AI7" s="138"/>
      <c r="AJ7" s="69"/>
      <c r="AK7" s="70"/>
      <c r="AL7" s="92"/>
      <c r="AM7" s="138">
        <v>50</v>
      </c>
      <c r="AN7" s="106" t="s">
        <v>368</v>
      </c>
      <c r="AO7" s="225" t="s">
        <v>378</v>
      </c>
      <c r="AP7" s="688"/>
      <c r="AQ7" s="62"/>
    </row>
    <row r="8" spans="1:43" ht="46.5" customHeight="1" x14ac:dyDescent="0.25">
      <c r="A8" s="688"/>
      <c r="B8" s="688"/>
      <c r="C8" s="688"/>
      <c r="D8" s="688"/>
      <c r="E8" s="221"/>
      <c r="F8" s="726"/>
      <c r="G8" s="107"/>
      <c r="H8" s="87" t="s">
        <v>237</v>
      </c>
      <c r="I8" s="94" t="s">
        <v>238</v>
      </c>
      <c r="J8" s="93" t="s">
        <v>239</v>
      </c>
      <c r="K8" s="148">
        <v>90</v>
      </c>
      <c r="L8" s="138">
        <v>98</v>
      </c>
      <c r="M8" s="92">
        <v>2</v>
      </c>
      <c r="N8" s="138">
        <v>2</v>
      </c>
      <c r="O8" s="92">
        <v>0</v>
      </c>
      <c r="P8" s="138">
        <v>0</v>
      </c>
      <c r="Q8" s="92">
        <v>0</v>
      </c>
      <c r="R8" s="138">
        <v>0</v>
      </c>
      <c r="S8" s="66"/>
      <c r="T8" s="147">
        <v>10000</v>
      </c>
      <c r="U8" s="149">
        <v>9500</v>
      </c>
      <c r="V8" s="178">
        <v>98</v>
      </c>
      <c r="W8" s="149">
        <v>500</v>
      </c>
      <c r="X8" s="138">
        <v>2</v>
      </c>
      <c r="Y8" s="149"/>
      <c r="Z8" s="138"/>
      <c r="AA8" s="149"/>
      <c r="AB8" s="138"/>
      <c r="AC8" s="92"/>
      <c r="AD8" s="138">
        <v>100</v>
      </c>
      <c r="AE8" s="92"/>
      <c r="AF8" s="138"/>
      <c r="AG8" s="107"/>
      <c r="AH8" s="92"/>
      <c r="AI8" s="138"/>
      <c r="AJ8" s="71"/>
      <c r="AK8" s="70"/>
      <c r="AL8" s="92"/>
      <c r="AM8" s="138"/>
      <c r="AN8" s="106"/>
      <c r="AO8" s="225" t="s">
        <v>378</v>
      </c>
      <c r="AP8" s="688"/>
      <c r="AQ8" s="62"/>
    </row>
    <row r="9" spans="1:43" ht="42" customHeight="1" x14ac:dyDescent="0.25">
      <c r="A9" s="688"/>
      <c r="B9" s="688"/>
      <c r="C9" s="688"/>
      <c r="D9" s="688"/>
      <c r="E9" s="235"/>
      <c r="F9" s="727"/>
      <c r="G9" s="107"/>
      <c r="H9" s="83" t="s">
        <v>240</v>
      </c>
      <c r="I9" s="87" t="s">
        <v>241</v>
      </c>
      <c r="J9" s="93" t="s">
        <v>242</v>
      </c>
      <c r="K9" s="107"/>
      <c r="L9" s="138">
        <v>25</v>
      </c>
      <c r="M9" s="92"/>
      <c r="N9" s="138">
        <v>50</v>
      </c>
      <c r="O9" s="92"/>
      <c r="P9" s="138">
        <v>75</v>
      </c>
      <c r="Q9" s="92"/>
      <c r="R9" s="138">
        <v>100</v>
      </c>
      <c r="S9" s="66"/>
      <c r="T9" s="149">
        <v>0</v>
      </c>
      <c r="U9" s="149"/>
      <c r="V9" s="179"/>
      <c r="W9" s="149"/>
      <c r="X9" s="138"/>
      <c r="Y9" s="149"/>
      <c r="Z9" s="138"/>
      <c r="AA9" s="149"/>
      <c r="AB9" s="138"/>
      <c r="AC9" s="92"/>
      <c r="AD9" s="138"/>
      <c r="AE9" s="92"/>
      <c r="AF9" s="138"/>
      <c r="AG9" s="107"/>
      <c r="AH9" s="92"/>
      <c r="AI9" s="138"/>
      <c r="AJ9" s="71"/>
      <c r="AK9" s="70"/>
      <c r="AL9" s="92"/>
      <c r="AM9" s="138"/>
      <c r="AN9" s="106"/>
      <c r="AO9" s="225" t="s">
        <v>378</v>
      </c>
      <c r="AP9" s="688"/>
      <c r="AQ9" s="62"/>
    </row>
    <row r="10" spans="1:43" ht="66" customHeight="1" x14ac:dyDescent="0.25">
      <c r="A10" s="688"/>
      <c r="B10" s="688"/>
      <c r="C10" s="688"/>
      <c r="D10" s="688"/>
      <c r="E10" s="239"/>
      <c r="F10" s="90" t="s">
        <v>164</v>
      </c>
      <c r="G10" s="107"/>
      <c r="H10" s="104">
        <v>0</v>
      </c>
      <c r="I10" s="87" t="s">
        <v>243</v>
      </c>
      <c r="J10" s="93" t="s">
        <v>244</v>
      </c>
      <c r="K10" s="107"/>
      <c r="L10" s="138"/>
      <c r="M10" s="92"/>
      <c r="N10" s="138"/>
      <c r="O10" s="92"/>
      <c r="P10" s="138"/>
      <c r="Q10" s="92"/>
      <c r="R10" s="138"/>
      <c r="S10" s="66"/>
      <c r="T10" s="149">
        <v>75500</v>
      </c>
      <c r="U10" s="149">
        <v>37750</v>
      </c>
      <c r="V10" s="179">
        <v>50</v>
      </c>
      <c r="W10" s="149">
        <v>37750</v>
      </c>
      <c r="X10" s="138">
        <v>100</v>
      </c>
      <c r="Y10" s="149"/>
      <c r="Z10" s="138"/>
      <c r="AA10" s="149"/>
      <c r="AB10" s="138"/>
      <c r="AC10" s="92"/>
      <c r="AD10" s="138"/>
      <c r="AE10" s="92"/>
      <c r="AF10" s="138"/>
      <c r="AG10" s="107"/>
      <c r="AH10" s="92"/>
      <c r="AI10" s="138"/>
      <c r="AJ10" s="69"/>
      <c r="AK10" s="70"/>
      <c r="AL10" s="139">
        <v>113500</v>
      </c>
      <c r="AM10" s="138"/>
      <c r="AN10" s="106" t="s">
        <v>369</v>
      </c>
      <c r="AO10" s="225" t="s">
        <v>378</v>
      </c>
      <c r="AP10" s="688"/>
      <c r="AQ10" s="62"/>
    </row>
    <row r="11" spans="1:43" ht="75" x14ac:dyDescent="0.25">
      <c r="A11" s="688"/>
      <c r="B11" s="688"/>
      <c r="C11" s="688"/>
      <c r="D11" s="688"/>
      <c r="E11" s="688"/>
      <c r="F11" s="87" t="s">
        <v>165</v>
      </c>
      <c r="G11" s="92"/>
      <c r="H11" s="87">
        <v>0</v>
      </c>
      <c r="I11" s="97" t="s">
        <v>245</v>
      </c>
      <c r="J11" s="94" t="s">
        <v>246</v>
      </c>
      <c r="K11" s="92"/>
      <c r="L11" s="138">
        <v>50</v>
      </c>
      <c r="M11" s="92"/>
      <c r="N11" s="138">
        <v>100</v>
      </c>
      <c r="O11" s="92"/>
      <c r="P11" s="138">
        <v>0</v>
      </c>
      <c r="Q11" s="92"/>
      <c r="R11" s="138">
        <v>0</v>
      </c>
      <c r="S11" s="61"/>
      <c r="T11" s="150">
        <v>7000</v>
      </c>
      <c r="U11" s="139">
        <v>3500</v>
      </c>
      <c r="V11" s="138">
        <v>50</v>
      </c>
      <c r="W11" s="139">
        <v>3500</v>
      </c>
      <c r="X11" s="138">
        <v>100</v>
      </c>
      <c r="Y11" s="92"/>
      <c r="Z11" s="138"/>
      <c r="AA11" s="92"/>
      <c r="AB11" s="138"/>
      <c r="AC11" s="92"/>
      <c r="AD11" s="138">
        <v>100</v>
      </c>
      <c r="AE11" s="92"/>
      <c r="AF11" s="138"/>
      <c r="AG11" s="92"/>
      <c r="AH11" s="92"/>
      <c r="AI11" s="138"/>
      <c r="AJ11" s="61"/>
      <c r="AK11" s="61"/>
      <c r="AL11" s="92"/>
      <c r="AM11" s="138"/>
      <c r="AN11" s="92"/>
      <c r="AO11" s="225" t="s">
        <v>378</v>
      </c>
      <c r="AP11" s="688"/>
      <c r="AQ11" s="61"/>
    </row>
    <row r="12" spans="1:43" ht="79.5" customHeight="1" x14ac:dyDescent="0.25">
      <c r="A12" s="688"/>
      <c r="B12" s="688"/>
      <c r="C12" s="722"/>
      <c r="D12" s="688"/>
      <c r="E12" s="689"/>
      <c r="F12" s="91" t="s">
        <v>166</v>
      </c>
      <c r="G12" s="107"/>
      <c r="H12" s="87">
        <v>0</v>
      </c>
      <c r="I12" s="105" t="s">
        <v>247</v>
      </c>
      <c r="J12" s="97" t="s">
        <v>248</v>
      </c>
      <c r="K12" s="107"/>
      <c r="L12" s="138">
        <v>0</v>
      </c>
      <c r="M12" s="92"/>
      <c r="N12" s="138">
        <v>50</v>
      </c>
      <c r="O12" s="92"/>
      <c r="P12" s="138">
        <v>75</v>
      </c>
      <c r="Q12" s="92"/>
      <c r="R12" s="138">
        <v>100</v>
      </c>
      <c r="S12" s="61"/>
      <c r="T12" s="149">
        <v>40000</v>
      </c>
      <c r="U12" s="149">
        <v>10000</v>
      </c>
      <c r="V12" s="138">
        <f>U12*100/T12</f>
        <v>25</v>
      </c>
      <c r="W12" s="149">
        <v>10000</v>
      </c>
      <c r="X12" s="138">
        <v>25</v>
      </c>
      <c r="Y12" s="149">
        <v>10000</v>
      </c>
      <c r="Z12" s="138">
        <v>25</v>
      </c>
      <c r="AA12" s="149">
        <v>10000</v>
      </c>
      <c r="AB12" s="138">
        <v>25</v>
      </c>
      <c r="AC12" s="92"/>
      <c r="AD12" s="138"/>
      <c r="AE12" s="92"/>
      <c r="AF12" s="138"/>
      <c r="AG12" s="107"/>
      <c r="AH12" s="92"/>
      <c r="AI12" s="138"/>
      <c r="AJ12" s="61"/>
      <c r="AK12" s="61"/>
      <c r="AL12" s="92"/>
      <c r="AM12" s="138"/>
      <c r="AN12" s="106" t="s">
        <v>370</v>
      </c>
      <c r="AO12" s="225" t="s">
        <v>378</v>
      </c>
      <c r="AP12" s="688"/>
      <c r="AQ12" s="61"/>
    </row>
    <row r="13" spans="1:43" ht="63.75" customHeight="1" x14ac:dyDescent="0.25">
      <c r="A13" s="688"/>
      <c r="B13" s="688"/>
      <c r="C13" s="80"/>
      <c r="D13" s="688"/>
      <c r="E13" s="687" t="s">
        <v>149</v>
      </c>
      <c r="F13" s="83" t="s">
        <v>167</v>
      </c>
      <c r="G13" s="107"/>
      <c r="H13" s="106">
        <v>1</v>
      </c>
      <c r="I13" s="87" t="s">
        <v>249</v>
      </c>
      <c r="J13" s="107" t="s">
        <v>250</v>
      </c>
      <c r="K13" s="148">
        <v>1</v>
      </c>
      <c r="L13" s="138">
        <v>25</v>
      </c>
      <c r="M13" s="92">
        <v>1</v>
      </c>
      <c r="N13" s="138">
        <v>50</v>
      </c>
      <c r="O13" s="92">
        <v>1</v>
      </c>
      <c r="P13" s="138">
        <v>75</v>
      </c>
      <c r="Q13" s="92">
        <v>1</v>
      </c>
      <c r="R13" s="138">
        <v>100</v>
      </c>
      <c r="S13" s="61"/>
      <c r="T13" s="149">
        <v>100000</v>
      </c>
      <c r="U13" s="149">
        <v>25000</v>
      </c>
      <c r="V13" s="179">
        <v>25</v>
      </c>
      <c r="W13" s="149">
        <v>25000</v>
      </c>
      <c r="X13" s="138">
        <v>25</v>
      </c>
      <c r="Y13" s="149">
        <v>25000</v>
      </c>
      <c r="Z13" s="138">
        <v>25</v>
      </c>
      <c r="AA13" s="149">
        <v>25000</v>
      </c>
      <c r="AB13" s="138">
        <v>25</v>
      </c>
      <c r="AC13" s="92"/>
      <c r="AD13" s="138">
        <v>100</v>
      </c>
      <c r="AE13" s="92"/>
      <c r="AF13" s="138"/>
      <c r="AG13" s="107"/>
      <c r="AH13" s="92"/>
      <c r="AI13" s="138"/>
      <c r="AJ13" s="61"/>
      <c r="AK13" s="61"/>
      <c r="AL13" s="92"/>
      <c r="AM13" s="138"/>
      <c r="AN13" s="81"/>
      <c r="AO13" s="225" t="s">
        <v>378</v>
      </c>
      <c r="AP13" s="688"/>
      <c r="AQ13" s="61"/>
    </row>
    <row r="14" spans="1:43" ht="62.25" customHeight="1" x14ac:dyDescent="0.25">
      <c r="A14" s="688"/>
      <c r="B14" s="688"/>
      <c r="C14" s="240"/>
      <c r="D14" s="688"/>
      <c r="E14" s="688"/>
      <c r="F14" s="83" t="s">
        <v>168</v>
      </c>
      <c r="G14" s="107"/>
      <c r="H14" s="106">
        <v>1</v>
      </c>
      <c r="I14" s="87" t="s">
        <v>249</v>
      </c>
      <c r="J14" s="108" t="s">
        <v>251</v>
      </c>
      <c r="K14" s="148">
        <v>1</v>
      </c>
      <c r="L14" s="138">
        <v>25</v>
      </c>
      <c r="M14" s="92">
        <v>1</v>
      </c>
      <c r="N14" s="138">
        <v>50</v>
      </c>
      <c r="O14" s="92">
        <v>1</v>
      </c>
      <c r="P14" s="138">
        <v>75</v>
      </c>
      <c r="Q14" s="92">
        <v>1</v>
      </c>
      <c r="R14" s="138">
        <v>100</v>
      </c>
      <c r="S14" s="61"/>
      <c r="T14" s="151">
        <v>80000</v>
      </c>
      <c r="U14" s="149">
        <v>20000</v>
      </c>
      <c r="V14" s="179">
        <v>25</v>
      </c>
      <c r="W14" s="149">
        <v>20000</v>
      </c>
      <c r="X14" s="138">
        <v>25</v>
      </c>
      <c r="Y14" s="149">
        <v>20000</v>
      </c>
      <c r="Z14" s="138">
        <v>25</v>
      </c>
      <c r="AA14" s="149">
        <v>20000</v>
      </c>
      <c r="AB14" s="138">
        <v>25</v>
      </c>
      <c r="AC14" s="92"/>
      <c r="AD14" s="138">
        <v>100</v>
      </c>
      <c r="AE14" s="92"/>
      <c r="AF14" s="138"/>
      <c r="AG14" s="107"/>
      <c r="AH14" s="92"/>
      <c r="AI14" s="138"/>
      <c r="AJ14" s="61"/>
      <c r="AK14" s="61"/>
      <c r="AL14" s="92"/>
      <c r="AM14" s="138"/>
      <c r="AN14" s="106"/>
      <c r="AO14" s="225" t="s">
        <v>378</v>
      </c>
      <c r="AP14" s="688"/>
      <c r="AQ14" s="61"/>
    </row>
    <row r="15" spans="1:43" ht="75" x14ac:dyDescent="0.25">
      <c r="A15" s="688"/>
      <c r="B15" s="688"/>
      <c r="C15" s="242"/>
      <c r="D15" s="688"/>
      <c r="E15" s="688"/>
      <c r="F15" s="92" t="s">
        <v>169</v>
      </c>
      <c r="G15" s="107"/>
      <c r="H15" s="106">
        <v>1</v>
      </c>
      <c r="I15" s="87" t="s">
        <v>252</v>
      </c>
      <c r="J15" s="108" t="s">
        <v>251</v>
      </c>
      <c r="K15" s="148">
        <v>1</v>
      </c>
      <c r="L15" s="138">
        <v>25</v>
      </c>
      <c r="M15" s="92">
        <v>1</v>
      </c>
      <c r="N15" s="138">
        <v>50</v>
      </c>
      <c r="O15" s="92">
        <v>1</v>
      </c>
      <c r="P15" s="138">
        <v>75</v>
      </c>
      <c r="Q15" s="92">
        <v>1</v>
      </c>
      <c r="R15" s="138">
        <v>100</v>
      </c>
      <c r="T15" s="149">
        <v>24000</v>
      </c>
      <c r="U15" s="149">
        <v>6000</v>
      </c>
      <c r="V15" s="179">
        <v>25</v>
      </c>
      <c r="W15" s="149">
        <v>6000</v>
      </c>
      <c r="X15" s="179">
        <v>25</v>
      </c>
      <c r="Y15" s="149">
        <v>6000</v>
      </c>
      <c r="Z15" s="179">
        <v>25</v>
      </c>
      <c r="AA15" s="149">
        <v>6000</v>
      </c>
      <c r="AB15" s="179">
        <v>25</v>
      </c>
      <c r="AC15" s="92"/>
      <c r="AD15" s="138">
        <v>100</v>
      </c>
      <c r="AE15" s="92"/>
      <c r="AF15" s="138"/>
      <c r="AG15" s="107"/>
      <c r="AH15" s="92"/>
      <c r="AI15" s="138"/>
      <c r="AJ15" s="170"/>
      <c r="AL15" s="92"/>
      <c r="AM15" s="138"/>
      <c r="AN15" s="106"/>
      <c r="AO15" s="225" t="s">
        <v>378</v>
      </c>
      <c r="AP15" s="688"/>
    </row>
    <row r="16" spans="1:43" ht="42" customHeight="1" x14ac:dyDescent="0.25">
      <c r="A16" s="689"/>
      <c r="B16" s="689"/>
      <c r="C16" s="241"/>
      <c r="D16" s="689"/>
      <c r="E16" s="689"/>
      <c r="F16" s="83" t="s">
        <v>170</v>
      </c>
      <c r="G16" s="107"/>
      <c r="H16" s="106">
        <v>1</v>
      </c>
      <c r="I16" s="87" t="s">
        <v>249</v>
      </c>
      <c r="J16" s="108" t="s">
        <v>251</v>
      </c>
      <c r="K16" s="148">
        <v>1</v>
      </c>
      <c r="L16" s="138">
        <v>25</v>
      </c>
      <c r="M16" s="92">
        <v>1</v>
      </c>
      <c r="N16" s="138">
        <v>50</v>
      </c>
      <c r="O16" s="92">
        <v>1</v>
      </c>
      <c r="P16" s="138">
        <v>75</v>
      </c>
      <c r="Q16" s="92">
        <v>1</v>
      </c>
      <c r="R16" s="138">
        <v>100</v>
      </c>
      <c r="S16" s="244"/>
      <c r="T16" s="152">
        <v>67000</v>
      </c>
      <c r="U16" s="139">
        <v>13000</v>
      </c>
      <c r="V16" s="138">
        <v>25</v>
      </c>
      <c r="W16" s="139">
        <v>18000</v>
      </c>
      <c r="X16" s="138">
        <v>25</v>
      </c>
      <c r="Y16" s="139">
        <v>18000</v>
      </c>
      <c r="Z16" s="138">
        <v>25</v>
      </c>
      <c r="AA16" s="139">
        <v>18000</v>
      </c>
      <c r="AB16" s="138">
        <v>25</v>
      </c>
      <c r="AC16" s="92"/>
      <c r="AD16" s="138">
        <v>100</v>
      </c>
      <c r="AE16" s="92"/>
      <c r="AF16" s="138"/>
      <c r="AG16" s="92"/>
      <c r="AH16" s="92"/>
      <c r="AI16" s="138"/>
      <c r="AJ16" s="61"/>
      <c r="AK16" s="61"/>
      <c r="AL16" s="92"/>
      <c r="AM16" s="138"/>
      <c r="AN16" s="92"/>
      <c r="AO16" s="225" t="s">
        <v>378</v>
      </c>
      <c r="AP16" s="689"/>
    </row>
    <row r="17" spans="1:42" ht="49.5" customHeight="1" x14ac:dyDescent="0.25">
      <c r="A17" s="687" t="s">
        <v>26</v>
      </c>
      <c r="B17" s="687" t="s">
        <v>130</v>
      </c>
      <c r="C17" s="687" t="s">
        <v>129</v>
      </c>
      <c r="D17" s="714" t="s">
        <v>140</v>
      </c>
      <c r="E17" s="714"/>
      <c r="F17" s="93" t="s">
        <v>171</v>
      </c>
      <c r="G17" s="92"/>
      <c r="H17" s="93" t="s">
        <v>253</v>
      </c>
      <c r="I17" s="87" t="s">
        <v>254</v>
      </c>
      <c r="J17" s="107" t="s">
        <v>255</v>
      </c>
      <c r="K17" s="92">
        <v>12</v>
      </c>
      <c r="L17" s="138">
        <v>25</v>
      </c>
      <c r="M17" s="92">
        <v>12</v>
      </c>
      <c r="N17" s="138">
        <v>50</v>
      </c>
      <c r="O17" s="92">
        <v>12</v>
      </c>
      <c r="P17" s="138">
        <v>75</v>
      </c>
      <c r="Q17" s="92">
        <v>12</v>
      </c>
      <c r="R17" s="138">
        <v>100</v>
      </c>
      <c r="S17" s="61"/>
      <c r="T17" s="152">
        <v>10000</v>
      </c>
      <c r="U17" s="139">
        <v>2500</v>
      </c>
      <c r="V17" s="138">
        <f>U17*100/T17</f>
        <v>25</v>
      </c>
      <c r="W17" s="139">
        <v>2500</v>
      </c>
      <c r="X17" s="138">
        <f>W17*100/T17</f>
        <v>25</v>
      </c>
      <c r="Y17" s="139">
        <v>2500</v>
      </c>
      <c r="Z17" s="138">
        <v>25</v>
      </c>
      <c r="AA17" s="139">
        <v>2500</v>
      </c>
      <c r="AB17" s="138">
        <v>25</v>
      </c>
      <c r="AC17" s="152">
        <v>10000</v>
      </c>
      <c r="AD17" s="138">
        <v>100</v>
      </c>
      <c r="AE17" s="92"/>
      <c r="AF17" s="138"/>
      <c r="AG17" s="92"/>
      <c r="AH17" s="92"/>
      <c r="AI17" s="138"/>
      <c r="AJ17" s="246"/>
      <c r="AK17" s="223"/>
      <c r="AL17" s="92"/>
      <c r="AM17" s="138"/>
      <c r="AN17" s="92"/>
      <c r="AO17" s="226" t="s">
        <v>379</v>
      </c>
      <c r="AP17" s="687" t="s">
        <v>26</v>
      </c>
    </row>
    <row r="18" spans="1:42" ht="45" x14ac:dyDescent="0.25">
      <c r="A18" s="688"/>
      <c r="B18" s="688"/>
      <c r="C18" s="688"/>
      <c r="D18" s="715"/>
      <c r="E18" s="715"/>
      <c r="F18" s="93" t="s">
        <v>172</v>
      </c>
      <c r="G18" s="135"/>
      <c r="H18" s="109" t="s">
        <v>256</v>
      </c>
      <c r="I18" s="110" t="s">
        <v>257</v>
      </c>
      <c r="J18" s="102" t="s">
        <v>258</v>
      </c>
      <c r="K18" s="153"/>
      <c r="L18" s="141"/>
      <c r="M18" s="101"/>
      <c r="N18" s="141"/>
      <c r="O18" s="101">
        <v>1</v>
      </c>
      <c r="P18" s="141">
        <v>100</v>
      </c>
      <c r="Q18" s="101"/>
      <c r="R18" s="141"/>
      <c r="S18" s="61"/>
      <c r="T18" s="154">
        <v>1000</v>
      </c>
      <c r="U18" s="154"/>
      <c r="V18" s="176"/>
      <c r="W18" s="101"/>
      <c r="X18" s="177"/>
      <c r="Y18" s="175">
        <v>1000</v>
      </c>
      <c r="Z18" s="141">
        <v>100</v>
      </c>
      <c r="AA18" s="101"/>
      <c r="AB18" s="141"/>
      <c r="AC18" s="175">
        <v>1000</v>
      </c>
      <c r="AD18" s="141">
        <v>100</v>
      </c>
      <c r="AE18" s="101"/>
      <c r="AF18" s="141"/>
      <c r="AG18" s="101"/>
      <c r="AH18" s="101"/>
      <c r="AI18" s="141"/>
      <c r="AJ18" s="249"/>
      <c r="AK18" s="170"/>
      <c r="AL18" s="101"/>
      <c r="AM18" s="141"/>
      <c r="AN18" s="187"/>
      <c r="AO18" s="226" t="s">
        <v>379</v>
      </c>
      <c r="AP18" s="688"/>
    </row>
    <row r="19" spans="1:42" ht="45" x14ac:dyDescent="0.25">
      <c r="A19" s="688"/>
      <c r="B19" s="688"/>
      <c r="C19" s="688"/>
      <c r="D19" s="715"/>
      <c r="E19" s="715"/>
      <c r="F19" s="93" t="s">
        <v>173</v>
      </c>
      <c r="G19" s="107"/>
      <c r="H19" s="87">
        <v>0</v>
      </c>
      <c r="I19" s="87" t="s">
        <v>259</v>
      </c>
      <c r="J19" s="87" t="s">
        <v>260</v>
      </c>
      <c r="K19" s="148">
        <v>1</v>
      </c>
      <c r="L19" s="138">
        <v>25</v>
      </c>
      <c r="M19" s="92">
        <v>1</v>
      </c>
      <c r="N19" s="138">
        <v>50</v>
      </c>
      <c r="O19" s="92">
        <v>1</v>
      </c>
      <c r="P19" s="138">
        <v>75</v>
      </c>
      <c r="Q19" s="92">
        <v>1</v>
      </c>
      <c r="R19" s="138">
        <v>100</v>
      </c>
      <c r="S19" s="61"/>
      <c r="T19" s="149">
        <v>12000</v>
      </c>
      <c r="U19" s="149">
        <v>3000</v>
      </c>
      <c r="V19" s="138">
        <f>U19*100/T19</f>
        <v>25</v>
      </c>
      <c r="W19" s="149">
        <v>3000</v>
      </c>
      <c r="X19" s="138">
        <f>W19*100/T19</f>
        <v>25</v>
      </c>
      <c r="Y19" s="149">
        <v>3000</v>
      </c>
      <c r="Z19" s="138">
        <v>25</v>
      </c>
      <c r="AA19" s="149">
        <v>3000</v>
      </c>
      <c r="AB19" s="138">
        <v>25</v>
      </c>
      <c r="AC19" s="149">
        <v>12000</v>
      </c>
      <c r="AD19" s="138">
        <v>100</v>
      </c>
      <c r="AE19" s="92"/>
      <c r="AF19" s="138"/>
      <c r="AG19" s="107"/>
      <c r="AH19" s="92"/>
      <c r="AI19" s="138"/>
      <c r="AK19" s="61"/>
      <c r="AL19" s="92"/>
      <c r="AM19" s="138"/>
      <c r="AN19" s="106"/>
      <c r="AO19" s="226" t="s">
        <v>379</v>
      </c>
      <c r="AP19" s="688"/>
    </row>
    <row r="20" spans="1:42" ht="45" x14ac:dyDescent="0.25">
      <c r="A20" s="688"/>
      <c r="B20" s="688"/>
      <c r="C20" s="688"/>
      <c r="D20" s="715"/>
      <c r="E20" s="715"/>
      <c r="F20" s="93" t="s">
        <v>174</v>
      </c>
      <c r="G20" s="107"/>
      <c r="H20" s="87">
        <v>0</v>
      </c>
      <c r="I20" s="87" t="s">
        <v>261</v>
      </c>
      <c r="J20" s="87" t="s">
        <v>262</v>
      </c>
      <c r="K20" s="148"/>
      <c r="L20" s="138"/>
      <c r="M20" s="92"/>
      <c r="N20" s="138"/>
      <c r="O20" s="92">
        <v>1</v>
      </c>
      <c r="P20" s="138">
        <v>100</v>
      </c>
      <c r="Q20" s="92"/>
      <c r="R20" s="138"/>
      <c r="S20" s="61"/>
      <c r="T20" s="149">
        <v>4000</v>
      </c>
      <c r="U20" s="149"/>
      <c r="V20" s="138"/>
      <c r="W20" s="149"/>
      <c r="X20" s="138"/>
      <c r="Y20" s="149">
        <v>4000</v>
      </c>
      <c r="Z20" s="138">
        <v>100</v>
      </c>
      <c r="AA20" s="149"/>
      <c r="AB20" s="138"/>
      <c r="AC20" s="149">
        <v>4000</v>
      </c>
      <c r="AD20" s="138">
        <v>100</v>
      </c>
      <c r="AE20" s="92"/>
      <c r="AF20" s="138"/>
      <c r="AG20" s="107"/>
      <c r="AH20" s="92"/>
      <c r="AI20" s="138"/>
      <c r="AJ20" s="249"/>
      <c r="AK20" s="61"/>
      <c r="AL20" s="92"/>
      <c r="AM20" s="138"/>
      <c r="AN20" s="106"/>
      <c r="AO20" s="226" t="s">
        <v>379</v>
      </c>
      <c r="AP20" s="688"/>
    </row>
    <row r="21" spans="1:42" ht="54" customHeight="1" x14ac:dyDescent="0.25">
      <c r="A21" s="688"/>
      <c r="B21" s="688"/>
      <c r="C21" s="688"/>
      <c r="D21" s="715"/>
      <c r="E21" s="715"/>
      <c r="F21" s="93" t="s">
        <v>175</v>
      </c>
      <c r="G21" s="107"/>
      <c r="H21" s="109">
        <v>0</v>
      </c>
      <c r="I21" s="93" t="s">
        <v>263</v>
      </c>
      <c r="J21" s="107" t="s">
        <v>264</v>
      </c>
      <c r="K21" s="148">
        <v>300</v>
      </c>
      <c r="L21" s="138">
        <v>25</v>
      </c>
      <c r="M21" s="92">
        <v>400</v>
      </c>
      <c r="N21" s="138">
        <v>50</v>
      </c>
      <c r="O21" s="92">
        <v>400</v>
      </c>
      <c r="P21" s="138">
        <v>75</v>
      </c>
      <c r="Q21" s="92">
        <v>400</v>
      </c>
      <c r="R21" s="138">
        <v>100</v>
      </c>
      <c r="S21" s="61"/>
      <c r="T21" s="147">
        <v>20000</v>
      </c>
      <c r="U21" s="149">
        <v>5000</v>
      </c>
      <c r="V21" s="178">
        <v>25</v>
      </c>
      <c r="W21" s="149">
        <v>5000</v>
      </c>
      <c r="X21" s="178">
        <v>25</v>
      </c>
      <c r="Y21" s="149">
        <v>5000</v>
      </c>
      <c r="Z21" s="178">
        <v>25</v>
      </c>
      <c r="AA21" s="149">
        <v>5000</v>
      </c>
      <c r="AB21" s="178">
        <v>25</v>
      </c>
      <c r="AC21" s="147">
        <v>20000</v>
      </c>
      <c r="AD21" s="138">
        <v>100</v>
      </c>
      <c r="AE21" s="92"/>
      <c r="AF21" s="138"/>
      <c r="AG21" s="107"/>
      <c r="AH21" s="92"/>
      <c r="AI21" s="138"/>
      <c r="AJ21" s="246"/>
      <c r="AL21" s="92"/>
      <c r="AM21" s="138"/>
      <c r="AN21" s="106"/>
      <c r="AO21" s="226" t="s">
        <v>379</v>
      </c>
      <c r="AP21" s="688"/>
    </row>
    <row r="22" spans="1:42" ht="45" x14ac:dyDescent="0.25">
      <c r="A22" s="688"/>
      <c r="B22" s="688"/>
      <c r="C22" s="688"/>
      <c r="D22" s="715"/>
      <c r="E22" s="715"/>
      <c r="F22" s="94" t="s">
        <v>176</v>
      </c>
      <c r="G22" s="107"/>
      <c r="H22" s="109">
        <v>4</v>
      </c>
      <c r="I22" s="93" t="s">
        <v>265</v>
      </c>
      <c r="J22" s="107" t="s">
        <v>266</v>
      </c>
      <c r="K22" s="148">
        <v>1</v>
      </c>
      <c r="L22" s="138">
        <v>25</v>
      </c>
      <c r="M22" s="92">
        <v>1</v>
      </c>
      <c r="N22" s="138">
        <v>50</v>
      </c>
      <c r="O22" s="92">
        <v>1</v>
      </c>
      <c r="P22" s="138">
        <v>75</v>
      </c>
      <c r="Q22" s="92">
        <v>1</v>
      </c>
      <c r="R22" s="138">
        <v>100</v>
      </c>
      <c r="S22" s="61"/>
      <c r="T22" s="147">
        <v>60000</v>
      </c>
      <c r="U22" s="149">
        <v>15000</v>
      </c>
      <c r="V22" s="178">
        <v>25</v>
      </c>
      <c r="W22" s="149">
        <v>15000</v>
      </c>
      <c r="X22" s="178">
        <v>25</v>
      </c>
      <c r="Y22" s="149">
        <v>15000</v>
      </c>
      <c r="Z22" s="178">
        <v>25</v>
      </c>
      <c r="AA22" s="149">
        <v>15000</v>
      </c>
      <c r="AB22" s="178">
        <v>25</v>
      </c>
      <c r="AC22" s="147">
        <v>60000</v>
      </c>
      <c r="AD22" s="138">
        <v>100</v>
      </c>
      <c r="AE22" s="92"/>
      <c r="AF22" s="138"/>
      <c r="AG22" s="107"/>
      <c r="AH22" s="92"/>
      <c r="AI22" s="138"/>
      <c r="AJ22" s="61"/>
      <c r="AK22" s="61"/>
      <c r="AL22" s="92"/>
      <c r="AM22" s="138"/>
      <c r="AN22" s="106"/>
      <c r="AO22" s="226" t="s">
        <v>379</v>
      </c>
      <c r="AP22" s="688"/>
    </row>
    <row r="23" spans="1:42" ht="45" x14ac:dyDescent="0.25">
      <c r="A23" s="688"/>
      <c r="B23" s="688"/>
      <c r="C23" s="688"/>
      <c r="D23" s="715"/>
      <c r="E23" s="715"/>
      <c r="F23" s="94" t="s">
        <v>177</v>
      </c>
      <c r="G23" s="107"/>
      <c r="H23" s="106">
        <v>0</v>
      </c>
      <c r="I23" s="93" t="s">
        <v>267</v>
      </c>
      <c r="J23" s="107" t="s">
        <v>266</v>
      </c>
      <c r="K23" s="148">
        <v>2</v>
      </c>
      <c r="L23" s="138">
        <v>25</v>
      </c>
      <c r="M23" s="92">
        <v>2</v>
      </c>
      <c r="N23" s="138">
        <v>50</v>
      </c>
      <c r="O23" s="92">
        <v>2</v>
      </c>
      <c r="P23" s="138">
        <v>75</v>
      </c>
      <c r="Q23" s="92">
        <v>2</v>
      </c>
      <c r="R23" s="138">
        <v>100</v>
      </c>
      <c r="S23" s="61"/>
      <c r="T23" s="147">
        <v>8000</v>
      </c>
      <c r="U23" s="149">
        <v>2000</v>
      </c>
      <c r="V23" s="178">
        <v>25</v>
      </c>
      <c r="W23" s="149">
        <v>2000</v>
      </c>
      <c r="X23" s="178">
        <v>25</v>
      </c>
      <c r="Y23" s="149">
        <v>2000</v>
      </c>
      <c r="Z23" s="178">
        <v>25</v>
      </c>
      <c r="AA23" s="149">
        <v>2000</v>
      </c>
      <c r="AB23" s="178">
        <v>25</v>
      </c>
      <c r="AC23" s="147">
        <v>8000</v>
      </c>
      <c r="AD23" s="138">
        <v>100</v>
      </c>
      <c r="AE23" s="92"/>
      <c r="AF23" s="138"/>
      <c r="AG23" s="107"/>
      <c r="AH23" s="92"/>
      <c r="AI23" s="138"/>
      <c r="AJ23" s="250"/>
      <c r="AK23" s="61"/>
      <c r="AL23" s="92"/>
      <c r="AM23" s="138"/>
      <c r="AN23" s="106"/>
      <c r="AO23" s="226" t="s">
        <v>379</v>
      </c>
      <c r="AP23" s="688"/>
    </row>
    <row r="24" spans="1:42" ht="119.25" customHeight="1" x14ac:dyDescent="0.25">
      <c r="A24" s="688"/>
      <c r="B24" s="688"/>
      <c r="C24" s="688"/>
      <c r="D24" s="715"/>
      <c r="E24" s="715"/>
      <c r="F24" s="94" t="s">
        <v>178</v>
      </c>
      <c r="G24" s="107"/>
      <c r="H24" s="109"/>
      <c r="I24" s="87" t="s">
        <v>268</v>
      </c>
      <c r="J24" s="87" t="s">
        <v>269</v>
      </c>
      <c r="K24" s="148">
        <v>5</v>
      </c>
      <c r="L24" s="138">
        <v>25</v>
      </c>
      <c r="M24" s="92">
        <v>5</v>
      </c>
      <c r="N24" s="138">
        <v>50</v>
      </c>
      <c r="O24" s="92">
        <v>5</v>
      </c>
      <c r="P24" s="138">
        <v>75</v>
      </c>
      <c r="Q24" s="92">
        <v>5</v>
      </c>
      <c r="R24" s="138">
        <v>100</v>
      </c>
      <c r="T24" s="147">
        <v>8000</v>
      </c>
      <c r="U24" s="149">
        <v>2000</v>
      </c>
      <c r="V24" s="178">
        <v>25</v>
      </c>
      <c r="W24" s="149">
        <v>2000</v>
      </c>
      <c r="X24" s="178">
        <v>25</v>
      </c>
      <c r="Y24" s="149">
        <v>2000</v>
      </c>
      <c r="Z24" s="178">
        <v>25</v>
      </c>
      <c r="AA24" s="149">
        <v>2000</v>
      </c>
      <c r="AB24" s="178">
        <v>25</v>
      </c>
      <c r="AC24" s="147">
        <v>8000</v>
      </c>
      <c r="AD24" s="138">
        <v>100</v>
      </c>
      <c r="AE24" s="92"/>
      <c r="AF24" s="138"/>
      <c r="AG24" s="107"/>
      <c r="AH24" s="92"/>
      <c r="AI24" s="138"/>
      <c r="AJ24" s="244"/>
      <c r="AL24" s="92"/>
      <c r="AM24" s="138"/>
      <c r="AN24" s="106"/>
      <c r="AO24" s="226" t="s">
        <v>379</v>
      </c>
      <c r="AP24" s="688"/>
    </row>
    <row r="25" spans="1:42" ht="49.5" customHeight="1" x14ac:dyDescent="0.25">
      <c r="A25" s="688"/>
      <c r="B25" s="688"/>
      <c r="C25" s="688"/>
      <c r="D25" s="715"/>
      <c r="E25" s="716"/>
      <c r="F25" s="93" t="s">
        <v>179</v>
      </c>
      <c r="G25" s="107"/>
      <c r="H25" s="109">
        <v>0</v>
      </c>
      <c r="I25" s="94" t="s">
        <v>270</v>
      </c>
      <c r="J25" s="107" t="s">
        <v>271</v>
      </c>
      <c r="K25" s="148">
        <v>100</v>
      </c>
      <c r="L25" s="138">
        <v>25</v>
      </c>
      <c r="M25" s="92">
        <v>100</v>
      </c>
      <c r="N25" s="138">
        <v>50</v>
      </c>
      <c r="O25" s="92">
        <v>100</v>
      </c>
      <c r="P25" s="138">
        <v>75</v>
      </c>
      <c r="Q25" s="92">
        <v>100</v>
      </c>
      <c r="R25" s="138">
        <v>100</v>
      </c>
      <c r="S25" s="170"/>
      <c r="T25" s="149">
        <v>4000</v>
      </c>
      <c r="U25" s="149">
        <v>1000</v>
      </c>
      <c r="V25" s="179">
        <v>25</v>
      </c>
      <c r="W25" s="149">
        <v>1000</v>
      </c>
      <c r="X25" s="179">
        <v>25</v>
      </c>
      <c r="Y25" s="149">
        <v>1000</v>
      </c>
      <c r="Z25" s="179">
        <v>25</v>
      </c>
      <c r="AA25" s="149">
        <v>1000</v>
      </c>
      <c r="AB25" s="179">
        <v>25</v>
      </c>
      <c r="AC25" s="149">
        <v>4000</v>
      </c>
      <c r="AD25" s="138">
        <v>100</v>
      </c>
      <c r="AE25" s="92"/>
      <c r="AF25" s="138"/>
      <c r="AG25" s="107"/>
      <c r="AH25" s="92"/>
      <c r="AI25" s="138"/>
      <c r="AK25" s="61"/>
      <c r="AL25" s="92"/>
      <c r="AM25" s="138"/>
      <c r="AN25" s="106"/>
      <c r="AO25" s="226" t="s">
        <v>379</v>
      </c>
      <c r="AP25" s="688"/>
    </row>
    <row r="26" spans="1:42" ht="60" x14ac:dyDescent="0.25">
      <c r="A26" s="688"/>
      <c r="B26" s="688"/>
      <c r="C26" s="688"/>
      <c r="D26" s="714" t="s">
        <v>141</v>
      </c>
      <c r="E26" s="687"/>
      <c r="F26" s="94" t="s">
        <v>180</v>
      </c>
      <c r="G26" s="92"/>
      <c r="H26" s="106">
        <v>0</v>
      </c>
      <c r="I26" s="94" t="s">
        <v>272</v>
      </c>
      <c r="J26" s="107" t="s">
        <v>273</v>
      </c>
      <c r="K26" s="92"/>
      <c r="L26" s="138">
        <v>0</v>
      </c>
      <c r="M26" s="92">
        <v>2</v>
      </c>
      <c r="N26" s="138">
        <v>40</v>
      </c>
      <c r="O26" s="92">
        <v>3</v>
      </c>
      <c r="P26" s="138">
        <v>100</v>
      </c>
      <c r="Q26" s="92"/>
      <c r="R26" s="138">
        <v>0</v>
      </c>
      <c r="S26" s="61"/>
      <c r="T26" s="152">
        <v>120000</v>
      </c>
      <c r="U26" s="92">
        <v>0</v>
      </c>
      <c r="V26" s="138">
        <v>0</v>
      </c>
      <c r="W26" s="92">
        <v>60000</v>
      </c>
      <c r="X26" s="138">
        <v>50</v>
      </c>
      <c r="Y26" s="92">
        <v>30000</v>
      </c>
      <c r="Z26" s="138">
        <v>25</v>
      </c>
      <c r="AA26" s="92">
        <v>30000</v>
      </c>
      <c r="AB26" s="138">
        <v>25</v>
      </c>
      <c r="AC26" s="92"/>
      <c r="AD26" s="138"/>
      <c r="AE26" s="92"/>
      <c r="AF26" s="138"/>
      <c r="AG26" s="92"/>
      <c r="AH26" s="92"/>
      <c r="AI26" s="138"/>
      <c r="AJ26" s="61"/>
      <c r="AK26" s="61"/>
      <c r="AL26" s="139">
        <v>120000</v>
      </c>
      <c r="AM26" s="138">
        <v>100</v>
      </c>
      <c r="AN26" s="94" t="s">
        <v>371</v>
      </c>
      <c r="AO26" s="226" t="s">
        <v>379</v>
      </c>
      <c r="AP26" s="688"/>
    </row>
    <row r="27" spans="1:42" ht="45" x14ac:dyDescent="0.25">
      <c r="A27" s="688"/>
      <c r="B27" s="688"/>
      <c r="C27" s="688"/>
      <c r="D27" s="715"/>
      <c r="E27" s="689"/>
      <c r="F27" s="92" t="s">
        <v>181</v>
      </c>
      <c r="G27" s="107"/>
      <c r="H27" s="109">
        <v>0</v>
      </c>
      <c r="I27" s="94" t="s">
        <v>274</v>
      </c>
      <c r="J27" s="107" t="s">
        <v>275</v>
      </c>
      <c r="K27" s="148">
        <v>1</v>
      </c>
      <c r="L27" s="138">
        <v>25</v>
      </c>
      <c r="M27" s="92">
        <v>1</v>
      </c>
      <c r="N27" s="138">
        <v>50</v>
      </c>
      <c r="O27" s="92">
        <v>1</v>
      </c>
      <c r="P27" s="138">
        <v>75</v>
      </c>
      <c r="Q27" s="92">
        <v>1</v>
      </c>
      <c r="R27" s="138">
        <v>100</v>
      </c>
      <c r="S27" s="61"/>
      <c r="T27" s="149">
        <v>12000</v>
      </c>
      <c r="U27" s="149">
        <v>3000</v>
      </c>
      <c r="V27" s="138">
        <f>U27*100/T27</f>
        <v>25</v>
      </c>
      <c r="W27" s="149">
        <v>3000</v>
      </c>
      <c r="X27" s="138">
        <v>25</v>
      </c>
      <c r="Y27" s="149">
        <v>3000</v>
      </c>
      <c r="Z27" s="138">
        <v>25</v>
      </c>
      <c r="AA27" s="149">
        <v>3000</v>
      </c>
      <c r="AB27" s="138">
        <v>25</v>
      </c>
      <c r="AC27" s="149">
        <v>12000</v>
      </c>
      <c r="AD27" s="138">
        <v>100</v>
      </c>
      <c r="AE27" s="92"/>
      <c r="AF27" s="138"/>
      <c r="AG27" s="107"/>
      <c r="AH27" s="92"/>
      <c r="AI27" s="138"/>
      <c r="AJ27" s="61"/>
      <c r="AK27" s="61"/>
      <c r="AL27" s="92"/>
      <c r="AM27" s="138"/>
      <c r="AN27" s="106"/>
      <c r="AO27" s="227" t="s">
        <v>379</v>
      </c>
      <c r="AP27" s="688"/>
    </row>
    <row r="28" spans="1:42" ht="45" x14ac:dyDescent="0.25">
      <c r="A28" s="687" t="s">
        <v>26</v>
      </c>
      <c r="B28" s="687" t="s">
        <v>131</v>
      </c>
      <c r="C28" s="687" t="s">
        <v>132</v>
      </c>
      <c r="D28" s="714"/>
      <c r="E28" s="714" t="s">
        <v>150</v>
      </c>
      <c r="F28" s="83" t="s">
        <v>182</v>
      </c>
      <c r="G28" s="92"/>
      <c r="H28" s="106">
        <v>0</v>
      </c>
      <c r="I28" s="107" t="s">
        <v>276</v>
      </c>
      <c r="J28" s="107" t="s">
        <v>277</v>
      </c>
      <c r="K28" s="92"/>
      <c r="L28" s="138"/>
      <c r="M28" s="92"/>
      <c r="N28" s="138"/>
      <c r="O28" s="92"/>
      <c r="P28" s="138"/>
      <c r="Q28" s="92">
        <v>1</v>
      </c>
      <c r="R28" s="138">
        <v>100</v>
      </c>
      <c r="T28" s="147">
        <v>20000</v>
      </c>
      <c r="U28" s="149">
        <v>5000</v>
      </c>
      <c r="V28" s="180">
        <v>0.25</v>
      </c>
      <c r="W28" s="149">
        <v>5000</v>
      </c>
      <c r="X28" s="180">
        <v>0.25</v>
      </c>
      <c r="Y28" s="149">
        <v>5000</v>
      </c>
      <c r="Z28" s="180">
        <v>0.25</v>
      </c>
      <c r="AA28" s="149">
        <v>5000</v>
      </c>
      <c r="AB28" s="180">
        <v>0.25</v>
      </c>
      <c r="AC28" s="149">
        <v>20000</v>
      </c>
      <c r="AD28" s="138">
        <v>100</v>
      </c>
      <c r="AE28" s="92"/>
      <c r="AF28" s="138"/>
      <c r="AG28" s="92"/>
      <c r="AH28" s="92"/>
      <c r="AI28" s="138"/>
      <c r="AJ28" s="250"/>
      <c r="AK28" s="61"/>
      <c r="AL28" s="92"/>
      <c r="AM28" s="138"/>
      <c r="AN28" s="92"/>
      <c r="AO28" s="226" t="s">
        <v>380</v>
      </c>
      <c r="AP28" s="688"/>
    </row>
    <row r="29" spans="1:42" ht="75" x14ac:dyDescent="0.25">
      <c r="A29" s="688"/>
      <c r="B29" s="688"/>
      <c r="C29" s="688"/>
      <c r="D29" s="715"/>
      <c r="E29" s="715"/>
      <c r="F29" s="83" t="s">
        <v>183</v>
      </c>
      <c r="G29" s="134"/>
      <c r="H29" s="111">
        <v>0</v>
      </c>
      <c r="I29" s="112" t="s">
        <v>278</v>
      </c>
      <c r="J29" s="112" t="s">
        <v>279</v>
      </c>
      <c r="K29" s="143">
        <v>6</v>
      </c>
      <c r="L29" s="155">
        <v>0.25</v>
      </c>
      <c r="M29" s="101">
        <v>12</v>
      </c>
      <c r="N29" s="155">
        <v>0.5</v>
      </c>
      <c r="O29" s="101">
        <v>18</v>
      </c>
      <c r="P29" s="141">
        <v>75</v>
      </c>
      <c r="Q29" s="101">
        <v>24</v>
      </c>
      <c r="R29" s="141">
        <v>100</v>
      </c>
      <c r="S29" s="61"/>
      <c r="T29" s="147">
        <v>12000</v>
      </c>
      <c r="U29" s="149">
        <v>3000</v>
      </c>
      <c r="V29" s="180">
        <v>0.25</v>
      </c>
      <c r="W29" s="149">
        <v>3000</v>
      </c>
      <c r="X29" s="180">
        <v>0.25</v>
      </c>
      <c r="Y29" s="149">
        <v>3000</v>
      </c>
      <c r="Z29" s="180">
        <v>0.25</v>
      </c>
      <c r="AA29" s="149">
        <v>3000</v>
      </c>
      <c r="AB29" s="180">
        <v>0.25</v>
      </c>
      <c r="AC29" s="149">
        <v>12000</v>
      </c>
      <c r="AD29" s="141">
        <v>100</v>
      </c>
      <c r="AE29" s="101"/>
      <c r="AF29" s="141"/>
      <c r="AG29" s="101"/>
      <c r="AH29" s="101"/>
      <c r="AI29" s="141"/>
      <c r="AJ29" s="249"/>
      <c r="AK29" s="61"/>
      <c r="AL29" s="101"/>
      <c r="AM29" s="141"/>
      <c r="AN29" s="187"/>
      <c r="AO29" s="226" t="s">
        <v>380</v>
      </c>
      <c r="AP29" s="689"/>
    </row>
    <row r="30" spans="1:42" ht="75" x14ac:dyDescent="0.25">
      <c r="A30" s="688"/>
      <c r="B30" s="688"/>
      <c r="C30" s="688"/>
      <c r="D30" s="715"/>
      <c r="E30" s="715"/>
      <c r="F30" s="83" t="s">
        <v>184</v>
      </c>
      <c r="G30" s="107"/>
      <c r="H30" s="109">
        <v>0</v>
      </c>
      <c r="I30" s="112" t="s">
        <v>278</v>
      </c>
      <c r="J30" s="112" t="s">
        <v>279</v>
      </c>
      <c r="K30" s="143">
        <v>6</v>
      </c>
      <c r="L30" s="155">
        <v>0.25</v>
      </c>
      <c r="M30" s="101">
        <v>12</v>
      </c>
      <c r="N30" s="155">
        <v>0.5</v>
      </c>
      <c r="O30" s="101">
        <v>18</v>
      </c>
      <c r="P30" s="141">
        <v>75</v>
      </c>
      <c r="Q30" s="101">
        <v>24</v>
      </c>
      <c r="R30" s="141">
        <v>100</v>
      </c>
      <c r="S30" s="61"/>
      <c r="T30" s="147">
        <v>12000</v>
      </c>
      <c r="U30" s="149">
        <v>3000</v>
      </c>
      <c r="V30" s="180">
        <v>0.25</v>
      </c>
      <c r="W30" s="149">
        <v>3000</v>
      </c>
      <c r="X30" s="180">
        <v>0.25</v>
      </c>
      <c r="Y30" s="149">
        <v>3000</v>
      </c>
      <c r="Z30" s="180">
        <v>0.25</v>
      </c>
      <c r="AA30" s="149">
        <v>3000</v>
      </c>
      <c r="AB30" s="180">
        <v>0.25</v>
      </c>
      <c r="AC30" s="149">
        <v>12000</v>
      </c>
      <c r="AD30" s="141">
        <v>100</v>
      </c>
      <c r="AE30" s="92"/>
      <c r="AF30" s="138"/>
      <c r="AG30" s="107"/>
      <c r="AH30" s="92"/>
      <c r="AI30" s="138"/>
      <c r="AJ30" s="250"/>
      <c r="AK30" s="244"/>
      <c r="AL30" s="92"/>
      <c r="AM30" s="138"/>
      <c r="AN30" s="106"/>
      <c r="AO30" s="227" t="s">
        <v>380</v>
      </c>
    </row>
    <row r="31" spans="1:42" ht="60" x14ac:dyDescent="0.25">
      <c r="A31" s="688"/>
      <c r="B31" s="688"/>
      <c r="C31" s="688"/>
      <c r="D31" s="715"/>
      <c r="E31" s="716"/>
      <c r="F31" s="83" t="s">
        <v>185</v>
      </c>
      <c r="G31" s="107"/>
      <c r="H31" s="109">
        <v>0</v>
      </c>
      <c r="I31" s="107" t="s">
        <v>280</v>
      </c>
      <c r="J31" s="107" t="s">
        <v>281</v>
      </c>
      <c r="K31" s="143">
        <v>6</v>
      </c>
      <c r="L31" s="155">
        <v>0.25</v>
      </c>
      <c r="M31" s="101">
        <v>12</v>
      </c>
      <c r="N31" s="155">
        <v>0.5</v>
      </c>
      <c r="O31" s="101">
        <v>18</v>
      </c>
      <c r="P31" s="141">
        <v>75</v>
      </c>
      <c r="Q31" s="101">
        <v>24</v>
      </c>
      <c r="R31" s="141">
        <v>100</v>
      </c>
      <c r="T31" s="147">
        <v>12000</v>
      </c>
      <c r="U31" s="149">
        <v>3000</v>
      </c>
      <c r="V31" s="180">
        <v>0.25</v>
      </c>
      <c r="W31" s="149">
        <v>3000</v>
      </c>
      <c r="X31" s="180">
        <v>0.25</v>
      </c>
      <c r="Y31" s="149">
        <v>3000</v>
      </c>
      <c r="Z31" s="180">
        <v>0.25</v>
      </c>
      <c r="AA31" s="149">
        <v>3000</v>
      </c>
      <c r="AB31" s="180">
        <v>0.25</v>
      </c>
      <c r="AC31" s="149">
        <v>12000</v>
      </c>
      <c r="AD31" s="141">
        <v>100</v>
      </c>
      <c r="AE31" s="92"/>
      <c r="AF31" s="138"/>
      <c r="AG31" s="107"/>
      <c r="AH31" s="92"/>
      <c r="AI31" s="138"/>
      <c r="AJ31" s="250"/>
      <c r="AK31" s="244"/>
      <c r="AL31" s="92"/>
      <c r="AM31" s="138"/>
      <c r="AN31" s="106"/>
      <c r="AO31" s="227" t="s">
        <v>380</v>
      </c>
    </row>
    <row r="32" spans="1:42" ht="56.25" customHeight="1" x14ac:dyDescent="0.25">
      <c r="A32" s="688"/>
      <c r="B32" s="688"/>
      <c r="C32" s="688"/>
      <c r="D32" s="715"/>
      <c r="E32" s="84" t="s">
        <v>151</v>
      </c>
      <c r="F32" s="83" t="s">
        <v>186</v>
      </c>
      <c r="G32" s="107"/>
      <c r="H32" s="109" t="s">
        <v>282</v>
      </c>
      <c r="I32" s="87" t="s">
        <v>283</v>
      </c>
      <c r="J32" s="87" t="s">
        <v>284</v>
      </c>
      <c r="K32" s="143">
        <v>20</v>
      </c>
      <c r="L32" s="155">
        <v>0.25</v>
      </c>
      <c r="M32" s="101">
        <v>40</v>
      </c>
      <c r="N32" s="155">
        <v>0.5</v>
      </c>
      <c r="O32" s="101">
        <v>60</v>
      </c>
      <c r="P32" s="141">
        <v>75</v>
      </c>
      <c r="Q32" s="101">
        <v>80</v>
      </c>
      <c r="R32" s="141">
        <v>100</v>
      </c>
      <c r="S32" s="61"/>
      <c r="T32" s="149">
        <v>24000</v>
      </c>
      <c r="U32" s="149">
        <v>6000</v>
      </c>
      <c r="V32" s="179">
        <v>25</v>
      </c>
      <c r="W32" s="149">
        <v>6000</v>
      </c>
      <c r="X32" s="179">
        <v>25</v>
      </c>
      <c r="Y32" s="149">
        <v>6000</v>
      </c>
      <c r="Z32" s="179">
        <v>25</v>
      </c>
      <c r="AA32" s="149">
        <v>6000</v>
      </c>
      <c r="AB32" s="179">
        <v>25</v>
      </c>
      <c r="AC32" s="149">
        <v>6000</v>
      </c>
      <c r="AD32" s="179">
        <v>25</v>
      </c>
      <c r="AE32" s="92"/>
      <c r="AF32" s="138"/>
      <c r="AG32" s="107"/>
      <c r="AH32" s="92"/>
      <c r="AI32" s="138"/>
      <c r="AJ32" s="250"/>
      <c r="AK32" s="61"/>
      <c r="AL32" s="92"/>
      <c r="AM32" s="138"/>
      <c r="AN32" s="106"/>
      <c r="AO32" s="227" t="s">
        <v>380</v>
      </c>
    </row>
    <row r="33" spans="1:41" ht="75" x14ac:dyDescent="0.25">
      <c r="A33" s="688"/>
      <c r="B33" s="688"/>
      <c r="C33" s="688"/>
      <c r="D33" s="723"/>
      <c r="E33" s="687" t="s">
        <v>152</v>
      </c>
      <c r="F33" s="83" t="s">
        <v>187</v>
      </c>
      <c r="G33" s="92"/>
      <c r="H33" s="106" t="s">
        <v>285</v>
      </c>
      <c r="I33" s="107" t="s">
        <v>286</v>
      </c>
      <c r="J33" s="83" t="s">
        <v>287</v>
      </c>
      <c r="K33" s="143">
        <v>13</v>
      </c>
      <c r="L33" s="155">
        <v>0.25</v>
      </c>
      <c r="M33" s="101">
        <v>26</v>
      </c>
      <c r="N33" s="155">
        <v>0.5</v>
      </c>
      <c r="O33" s="101">
        <v>39</v>
      </c>
      <c r="P33" s="141">
        <v>75</v>
      </c>
      <c r="Q33" s="101">
        <v>50</v>
      </c>
      <c r="R33" s="141">
        <v>100</v>
      </c>
      <c r="S33" s="61"/>
      <c r="T33" s="149">
        <v>59000</v>
      </c>
      <c r="U33" s="139">
        <v>14750</v>
      </c>
      <c r="V33" s="138">
        <v>25</v>
      </c>
      <c r="W33" s="139">
        <v>14750</v>
      </c>
      <c r="X33" s="138">
        <v>25</v>
      </c>
      <c r="Y33" s="139">
        <v>14750</v>
      </c>
      <c r="Z33" s="138">
        <v>25</v>
      </c>
      <c r="AA33" s="139">
        <v>14750</v>
      </c>
      <c r="AB33" s="138">
        <v>25</v>
      </c>
      <c r="AC33" s="139">
        <v>59000</v>
      </c>
      <c r="AD33" s="138">
        <v>100</v>
      </c>
      <c r="AE33" s="92"/>
      <c r="AF33" s="138"/>
      <c r="AG33" s="92"/>
      <c r="AH33" s="92"/>
      <c r="AI33" s="138"/>
      <c r="AK33" s="246"/>
      <c r="AL33" s="92"/>
      <c r="AM33" s="138"/>
      <c r="AN33" s="92"/>
      <c r="AO33" s="226" t="s">
        <v>380</v>
      </c>
    </row>
    <row r="34" spans="1:41" ht="45" x14ac:dyDescent="0.25">
      <c r="A34" s="688"/>
      <c r="B34" s="688"/>
      <c r="C34" s="688"/>
      <c r="D34" s="715"/>
      <c r="E34" s="688"/>
      <c r="F34" s="83" t="s">
        <v>188</v>
      </c>
      <c r="G34" s="107"/>
      <c r="H34" s="109" t="s">
        <v>285</v>
      </c>
      <c r="I34" s="107" t="s">
        <v>288</v>
      </c>
      <c r="J34" s="83" t="s">
        <v>289</v>
      </c>
      <c r="K34" s="143">
        <v>6</v>
      </c>
      <c r="L34" s="155">
        <v>0.25</v>
      </c>
      <c r="M34" s="101">
        <v>12</v>
      </c>
      <c r="N34" s="155">
        <v>0.5</v>
      </c>
      <c r="O34" s="101">
        <v>18</v>
      </c>
      <c r="P34" s="141">
        <v>75</v>
      </c>
      <c r="Q34" s="101">
        <v>24</v>
      </c>
      <c r="R34" s="141">
        <v>100</v>
      </c>
      <c r="T34" s="147">
        <v>12000</v>
      </c>
      <c r="U34" s="149">
        <v>3000</v>
      </c>
      <c r="V34" s="180">
        <v>0.25</v>
      </c>
      <c r="W34" s="149">
        <v>3000</v>
      </c>
      <c r="X34" s="180">
        <v>0.25</v>
      </c>
      <c r="Y34" s="149">
        <v>3000</v>
      </c>
      <c r="Z34" s="180">
        <v>0.25</v>
      </c>
      <c r="AA34" s="149">
        <v>3000</v>
      </c>
      <c r="AB34" s="180">
        <v>0.25</v>
      </c>
      <c r="AC34" s="149">
        <v>12000</v>
      </c>
      <c r="AD34" s="138">
        <v>100</v>
      </c>
      <c r="AE34" s="92"/>
      <c r="AF34" s="138"/>
      <c r="AG34" s="107"/>
      <c r="AH34" s="92"/>
      <c r="AI34" s="138"/>
      <c r="AJ34" s="61"/>
      <c r="AK34" s="61"/>
      <c r="AL34" s="92"/>
      <c r="AM34" s="138"/>
      <c r="AN34" s="106"/>
      <c r="AO34" s="227" t="s">
        <v>380</v>
      </c>
    </row>
    <row r="35" spans="1:41" ht="45" x14ac:dyDescent="0.25">
      <c r="A35" s="688"/>
      <c r="B35" s="688"/>
      <c r="C35" s="688"/>
      <c r="D35" s="715"/>
      <c r="E35" s="688"/>
      <c r="F35" s="83" t="s">
        <v>189</v>
      </c>
      <c r="G35" s="107"/>
      <c r="H35" s="109">
        <v>0</v>
      </c>
      <c r="I35" s="107" t="s">
        <v>290</v>
      </c>
      <c r="J35" s="105" t="s">
        <v>291</v>
      </c>
      <c r="K35" s="143"/>
      <c r="L35" s="155"/>
      <c r="M35" s="101"/>
      <c r="N35" s="155"/>
      <c r="O35" s="101"/>
      <c r="P35" s="141"/>
      <c r="Q35" s="101">
        <v>1</v>
      </c>
      <c r="R35" s="141">
        <v>100</v>
      </c>
      <c r="S35" s="61"/>
      <c r="T35" s="149">
        <v>0</v>
      </c>
      <c r="U35" s="149"/>
      <c r="V35" s="179"/>
      <c r="W35" s="149"/>
      <c r="X35" s="138"/>
      <c r="Y35" s="149"/>
      <c r="Z35" s="138"/>
      <c r="AA35" s="149"/>
      <c r="AB35" s="138"/>
      <c r="AC35" s="149"/>
      <c r="AD35" s="138"/>
      <c r="AE35" s="92"/>
      <c r="AF35" s="138"/>
      <c r="AG35" s="107"/>
      <c r="AH35" s="92"/>
      <c r="AI35" s="138"/>
      <c r="AJ35" s="248"/>
      <c r="AK35" s="61"/>
      <c r="AL35" s="92"/>
      <c r="AM35" s="138"/>
      <c r="AN35" s="106"/>
      <c r="AO35" s="227" t="s">
        <v>380</v>
      </c>
    </row>
    <row r="36" spans="1:41" ht="71.25" customHeight="1" x14ac:dyDescent="0.25">
      <c r="A36" s="722"/>
      <c r="B36" s="722"/>
      <c r="C36" s="688"/>
      <c r="D36" s="724"/>
      <c r="E36" s="688"/>
      <c r="F36" s="83" t="s">
        <v>190</v>
      </c>
      <c r="G36" s="107"/>
      <c r="H36" s="109" t="s">
        <v>292</v>
      </c>
      <c r="I36" s="107" t="s">
        <v>293</v>
      </c>
      <c r="J36" s="112" t="s">
        <v>294</v>
      </c>
      <c r="K36" s="143">
        <v>3</v>
      </c>
      <c r="L36" s="155">
        <v>0.25</v>
      </c>
      <c r="M36" s="101">
        <v>6</v>
      </c>
      <c r="N36" s="155">
        <v>0.5</v>
      </c>
      <c r="O36" s="101">
        <v>9</v>
      </c>
      <c r="P36" s="141">
        <v>75</v>
      </c>
      <c r="Q36" s="101">
        <v>12</v>
      </c>
      <c r="R36" s="141">
        <v>100</v>
      </c>
      <c r="T36" s="147">
        <v>12000</v>
      </c>
      <c r="U36" s="149">
        <v>3000</v>
      </c>
      <c r="V36" s="180">
        <v>0.25</v>
      </c>
      <c r="W36" s="149">
        <v>3000</v>
      </c>
      <c r="X36" s="180">
        <v>0.25</v>
      </c>
      <c r="Y36" s="149">
        <v>3000</v>
      </c>
      <c r="Z36" s="180">
        <v>0.25</v>
      </c>
      <c r="AA36" s="149">
        <v>3000</v>
      </c>
      <c r="AB36" s="180">
        <v>0.25</v>
      </c>
      <c r="AC36" s="149">
        <v>12000</v>
      </c>
      <c r="AD36" s="138">
        <v>100</v>
      </c>
      <c r="AE36" s="92"/>
      <c r="AF36" s="138"/>
      <c r="AG36" s="92"/>
      <c r="AH36" s="92"/>
      <c r="AI36" s="138"/>
      <c r="AJ36" s="249"/>
      <c r="AK36" s="61"/>
      <c r="AL36" s="92"/>
      <c r="AM36" s="138"/>
      <c r="AN36" s="92"/>
      <c r="AO36" s="228" t="s">
        <v>380</v>
      </c>
    </row>
    <row r="37" spans="1:41" ht="45" x14ac:dyDescent="0.25">
      <c r="A37" s="688"/>
      <c r="B37" s="688"/>
      <c r="C37" s="688"/>
      <c r="D37" s="723"/>
      <c r="E37" s="688"/>
      <c r="F37" s="83" t="s">
        <v>191</v>
      </c>
      <c r="G37" s="92"/>
      <c r="H37" s="93" t="s">
        <v>295</v>
      </c>
      <c r="I37" s="107" t="s">
        <v>296</v>
      </c>
      <c r="J37" s="87" t="s">
        <v>297</v>
      </c>
      <c r="K37" s="143">
        <v>2</v>
      </c>
      <c r="L37" s="155">
        <v>0.25</v>
      </c>
      <c r="M37" s="101">
        <v>4</v>
      </c>
      <c r="N37" s="155">
        <v>0.5</v>
      </c>
      <c r="O37" s="101">
        <v>6</v>
      </c>
      <c r="P37" s="141">
        <v>75</v>
      </c>
      <c r="Q37" s="101">
        <v>8</v>
      </c>
      <c r="R37" s="141">
        <v>100</v>
      </c>
      <c r="S37" s="170"/>
      <c r="T37" s="147">
        <v>20000</v>
      </c>
      <c r="U37" s="149">
        <v>5000</v>
      </c>
      <c r="V37" s="180">
        <v>0.25</v>
      </c>
      <c r="W37" s="149">
        <v>5000</v>
      </c>
      <c r="X37" s="180">
        <v>0.25</v>
      </c>
      <c r="Y37" s="149">
        <v>5000</v>
      </c>
      <c r="Z37" s="180">
        <v>0.25</v>
      </c>
      <c r="AA37" s="149">
        <v>5000</v>
      </c>
      <c r="AB37" s="180">
        <v>0.25</v>
      </c>
      <c r="AC37" s="149">
        <v>20000</v>
      </c>
      <c r="AD37" s="138">
        <v>100</v>
      </c>
      <c r="AE37" s="92"/>
      <c r="AF37" s="138"/>
      <c r="AG37" s="92"/>
      <c r="AH37" s="92"/>
      <c r="AI37" s="138"/>
      <c r="AJ37" s="61"/>
      <c r="AL37" s="92"/>
      <c r="AM37" s="138"/>
      <c r="AN37" s="92"/>
      <c r="AO37" s="226" t="s">
        <v>380</v>
      </c>
    </row>
    <row r="38" spans="1:41" ht="45" x14ac:dyDescent="0.25">
      <c r="A38" s="688"/>
      <c r="B38" s="688"/>
      <c r="C38" s="688"/>
      <c r="D38" s="715"/>
      <c r="E38" s="688"/>
      <c r="F38" s="83" t="s">
        <v>192</v>
      </c>
      <c r="G38" s="134"/>
      <c r="H38" s="109" t="s">
        <v>298</v>
      </c>
      <c r="I38" s="107" t="s">
        <v>299</v>
      </c>
      <c r="J38" s="112" t="s">
        <v>300</v>
      </c>
      <c r="K38" s="143">
        <v>2</v>
      </c>
      <c r="L38" s="155">
        <v>0.25</v>
      </c>
      <c r="M38" s="101">
        <v>4</v>
      </c>
      <c r="N38" s="155">
        <v>0.5</v>
      </c>
      <c r="O38" s="101">
        <v>6</v>
      </c>
      <c r="P38" s="141">
        <v>75</v>
      </c>
      <c r="Q38" s="101">
        <v>8</v>
      </c>
      <c r="R38" s="141">
        <v>100</v>
      </c>
      <c r="S38" s="170"/>
      <c r="T38" s="147">
        <v>20000</v>
      </c>
      <c r="U38" s="149">
        <v>5000</v>
      </c>
      <c r="V38" s="180">
        <v>0.25</v>
      </c>
      <c r="W38" s="149">
        <v>5000</v>
      </c>
      <c r="X38" s="180">
        <v>0.25</v>
      </c>
      <c r="Y38" s="149">
        <v>5000</v>
      </c>
      <c r="Z38" s="180">
        <v>0.25</v>
      </c>
      <c r="AA38" s="149">
        <v>5000</v>
      </c>
      <c r="AB38" s="180">
        <v>0.25</v>
      </c>
      <c r="AC38" s="149">
        <v>20000</v>
      </c>
      <c r="AD38" s="138">
        <v>100</v>
      </c>
      <c r="AE38" s="101"/>
      <c r="AF38" s="141"/>
      <c r="AG38" s="101"/>
      <c r="AH38" s="101"/>
      <c r="AI38" s="141"/>
      <c r="AJ38" s="244"/>
      <c r="AK38" s="170"/>
      <c r="AL38" s="101"/>
      <c r="AM38" s="141"/>
      <c r="AN38" s="187"/>
      <c r="AO38" s="226" t="s">
        <v>380</v>
      </c>
    </row>
    <row r="39" spans="1:41" ht="45" customHeight="1" x14ac:dyDescent="0.25">
      <c r="A39" s="688"/>
      <c r="B39" s="688"/>
      <c r="C39" s="689"/>
      <c r="D39" s="716"/>
      <c r="E39" s="689"/>
      <c r="F39" s="83" t="s">
        <v>193</v>
      </c>
      <c r="G39" s="107"/>
      <c r="H39" s="109" t="s">
        <v>301</v>
      </c>
      <c r="I39" s="113" t="s">
        <v>302</v>
      </c>
      <c r="J39" s="107" t="s">
        <v>303</v>
      </c>
      <c r="K39" s="143">
        <v>1</v>
      </c>
      <c r="L39" s="155">
        <v>0.25</v>
      </c>
      <c r="M39" s="101">
        <v>2</v>
      </c>
      <c r="N39" s="155">
        <v>0.5</v>
      </c>
      <c r="O39" s="101">
        <v>3</v>
      </c>
      <c r="P39" s="141">
        <v>75</v>
      </c>
      <c r="Q39" s="101">
        <v>4</v>
      </c>
      <c r="R39" s="141">
        <v>100</v>
      </c>
      <c r="S39" s="61"/>
      <c r="T39" s="147">
        <v>80000</v>
      </c>
      <c r="U39" s="149">
        <v>20000</v>
      </c>
      <c r="V39" s="180">
        <v>0.25</v>
      </c>
      <c r="W39" s="149">
        <v>20000</v>
      </c>
      <c r="X39" s="180">
        <v>0.25</v>
      </c>
      <c r="Y39" s="149">
        <v>20000</v>
      </c>
      <c r="Z39" s="180">
        <v>0.25</v>
      </c>
      <c r="AA39" s="149">
        <v>20000</v>
      </c>
      <c r="AB39" s="180">
        <v>0.25</v>
      </c>
      <c r="AC39" s="149">
        <v>80000</v>
      </c>
      <c r="AD39" s="138">
        <v>100</v>
      </c>
      <c r="AE39" s="92"/>
      <c r="AF39" s="138"/>
      <c r="AG39" s="107"/>
      <c r="AH39" s="92"/>
      <c r="AI39" s="138"/>
      <c r="AJ39" s="244"/>
      <c r="AK39" s="170"/>
      <c r="AL39" s="92"/>
      <c r="AM39" s="138"/>
      <c r="AN39" s="106"/>
      <c r="AO39" s="227" t="s">
        <v>380</v>
      </c>
    </row>
    <row r="40" spans="1:41" ht="87.75" customHeight="1" x14ac:dyDescent="0.25">
      <c r="A40" s="714" t="s">
        <v>26</v>
      </c>
      <c r="B40" s="717" t="s">
        <v>133</v>
      </c>
      <c r="C40" s="687" t="s">
        <v>132</v>
      </c>
      <c r="D40" s="719" t="s">
        <v>142</v>
      </c>
      <c r="E40" s="714" t="s">
        <v>153</v>
      </c>
      <c r="F40" s="83" t="s">
        <v>194</v>
      </c>
      <c r="G40" s="92"/>
      <c r="H40" s="104">
        <v>2000</v>
      </c>
      <c r="I40" s="83" t="s">
        <v>304</v>
      </c>
      <c r="J40" s="83" t="s">
        <v>305</v>
      </c>
      <c r="K40" s="92"/>
      <c r="L40" s="138">
        <v>25</v>
      </c>
      <c r="M40" s="92"/>
      <c r="N40" s="138">
        <v>50</v>
      </c>
      <c r="O40" s="92"/>
      <c r="P40" s="138">
        <v>75</v>
      </c>
      <c r="Q40" s="92"/>
      <c r="R40" s="138">
        <v>100</v>
      </c>
      <c r="S40" s="61"/>
      <c r="T40" s="154">
        <v>249480000</v>
      </c>
      <c r="U40" s="154">
        <v>62370000</v>
      </c>
      <c r="V40" s="138" t="s">
        <v>362</v>
      </c>
      <c r="W40" s="154">
        <v>62370000</v>
      </c>
      <c r="X40" s="138" t="s">
        <v>362</v>
      </c>
      <c r="Y40" s="154">
        <v>62370000</v>
      </c>
      <c r="Z40" s="138" t="s">
        <v>362</v>
      </c>
      <c r="AA40" s="154">
        <v>62370000</v>
      </c>
      <c r="AB40" s="138" t="s">
        <v>362</v>
      </c>
      <c r="AC40" s="92"/>
      <c r="AD40" s="138">
        <v>100</v>
      </c>
      <c r="AE40" s="92"/>
      <c r="AF40" s="138"/>
      <c r="AG40" s="92"/>
      <c r="AH40" s="92"/>
      <c r="AI40" s="138"/>
      <c r="AK40" s="61"/>
      <c r="AL40" s="92"/>
      <c r="AM40" s="138"/>
      <c r="AN40" s="92"/>
      <c r="AO40" s="229" t="s">
        <v>381</v>
      </c>
    </row>
    <row r="41" spans="1:41" ht="63" customHeight="1" x14ac:dyDescent="0.25">
      <c r="A41" s="715"/>
      <c r="B41" s="718"/>
      <c r="C41" s="688"/>
      <c r="D41" s="720"/>
      <c r="E41" s="715"/>
      <c r="F41" s="83" t="s">
        <v>195</v>
      </c>
      <c r="G41" s="134"/>
      <c r="H41" s="104">
        <v>0</v>
      </c>
      <c r="I41" s="83" t="s">
        <v>306</v>
      </c>
      <c r="J41" s="83" t="s">
        <v>307</v>
      </c>
      <c r="K41" s="153"/>
      <c r="L41" s="141"/>
      <c r="M41" s="101">
        <v>1</v>
      </c>
      <c r="N41" s="141">
        <v>100</v>
      </c>
      <c r="O41" s="101"/>
      <c r="P41" s="141"/>
      <c r="Q41" s="101"/>
      <c r="R41" s="141"/>
      <c r="S41" s="61"/>
      <c r="T41" s="154">
        <v>5000000</v>
      </c>
      <c r="U41" s="154">
        <v>1500000</v>
      </c>
      <c r="V41" s="176" t="s">
        <v>363</v>
      </c>
      <c r="W41" s="154">
        <v>1166666</v>
      </c>
      <c r="X41" s="177" t="s">
        <v>364</v>
      </c>
      <c r="Y41" s="154">
        <v>1166666</v>
      </c>
      <c r="Z41" s="177" t="s">
        <v>364</v>
      </c>
      <c r="AA41" s="154">
        <v>1166668</v>
      </c>
      <c r="AB41" s="141" t="s">
        <v>365</v>
      </c>
      <c r="AC41" s="101"/>
      <c r="AD41" s="141">
        <v>100</v>
      </c>
      <c r="AE41" s="101"/>
      <c r="AF41" s="141"/>
      <c r="AG41" s="101"/>
      <c r="AH41" s="101"/>
      <c r="AI41" s="141"/>
      <c r="AJ41" s="248"/>
      <c r="AK41" s="61"/>
      <c r="AL41" s="101"/>
      <c r="AM41" s="141"/>
      <c r="AN41" s="187"/>
      <c r="AO41" s="229" t="s">
        <v>381</v>
      </c>
    </row>
    <row r="42" spans="1:41" ht="60" x14ac:dyDescent="0.25">
      <c r="A42" s="715"/>
      <c r="B42" s="718"/>
      <c r="C42" s="688"/>
      <c r="D42" s="720"/>
      <c r="E42" s="715"/>
      <c r="F42" s="83" t="s">
        <v>196</v>
      </c>
      <c r="G42" s="107"/>
      <c r="H42" s="104">
        <v>20</v>
      </c>
      <c r="I42" s="83" t="s">
        <v>308</v>
      </c>
      <c r="J42" s="83" t="s">
        <v>309</v>
      </c>
      <c r="K42" s="107">
        <v>4</v>
      </c>
      <c r="L42" s="138">
        <v>25</v>
      </c>
      <c r="M42" s="92">
        <v>4</v>
      </c>
      <c r="N42" s="138">
        <v>50</v>
      </c>
      <c r="O42" s="92">
        <v>4</v>
      </c>
      <c r="P42" s="138">
        <v>75</v>
      </c>
      <c r="Q42" s="92">
        <v>4</v>
      </c>
      <c r="R42" s="138">
        <v>100</v>
      </c>
      <c r="S42" s="61"/>
      <c r="T42" s="149">
        <v>2000000</v>
      </c>
      <c r="U42" s="149">
        <v>12500</v>
      </c>
      <c r="V42" s="138" t="s">
        <v>362</v>
      </c>
      <c r="W42" s="149">
        <v>12500</v>
      </c>
      <c r="X42" s="138">
        <f>W42*100/T42</f>
        <v>0.625</v>
      </c>
      <c r="Y42" s="149">
        <v>12500</v>
      </c>
      <c r="Z42" s="138" t="s">
        <v>362</v>
      </c>
      <c r="AA42" s="149">
        <v>12500</v>
      </c>
      <c r="AB42" s="138" t="s">
        <v>362</v>
      </c>
      <c r="AC42" s="92"/>
      <c r="AD42" s="138">
        <v>100</v>
      </c>
      <c r="AE42" s="92"/>
      <c r="AF42" s="138"/>
      <c r="AG42" s="107"/>
      <c r="AH42" s="92"/>
      <c r="AI42" s="138"/>
      <c r="AJ42" s="249"/>
      <c r="AK42" s="61"/>
      <c r="AL42" s="92"/>
      <c r="AM42" s="138"/>
      <c r="AN42" s="106"/>
      <c r="AO42" s="229" t="s">
        <v>381</v>
      </c>
    </row>
    <row r="43" spans="1:41" ht="105" x14ac:dyDescent="0.25">
      <c r="A43" s="715"/>
      <c r="B43" s="718"/>
      <c r="C43" s="688"/>
      <c r="D43" s="720"/>
      <c r="E43" s="716"/>
      <c r="F43" s="83" t="s">
        <v>197</v>
      </c>
      <c r="G43" s="107"/>
      <c r="H43" s="104">
        <v>0</v>
      </c>
      <c r="I43" s="83" t="s">
        <v>310</v>
      </c>
      <c r="J43" s="83" t="s">
        <v>311</v>
      </c>
      <c r="K43" s="148">
        <v>4</v>
      </c>
      <c r="L43" s="138">
        <v>25</v>
      </c>
      <c r="M43" s="92">
        <v>4</v>
      </c>
      <c r="N43" s="138">
        <v>50</v>
      </c>
      <c r="O43" s="92">
        <v>4</v>
      </c>
      <c r="P43" s="138">
        <v>75</v>
      </c>
      <c r="Q43" s="92">
        <v>4</v>
      </c>
      <c r="R43" s="138">
        <v>100</v>
      </c>
      <c r="S43" s="61"/>
      <c r="T43" s="156">
        <v>2000000</v>
      </c>
      <c r="U43" s="149">
        <v>500000</v>
      </c>
      <c r="V43" s="178" t="s">
        <v>362</v>
      </c>
      <c r="W43" s="149">
        <v>500000</v>
      </c>
      <c r="X43" s="178" t="s">
        <v>362</v>
      </c>
      <c r="Y43" s="149">
        <v>500000</v>
      </c>
      <c r="Z43" s="178" t="s">
        <v>362</v>
      </c>
      <c r="AA43" s="149">
        <v>500000</v>
      </c>
      <c r="AB43" s="178" t="s">
        <v>362</v>
      </c>
      <c r="AC43" s="92"/>
      <c r="AD43" s="138">
        <v>100</v>
      </c>
      <c r="AE43" s="92"/>
      <c r="AF43" s="138"/>
      <c r="AG43" s="107"/>
      <c r="AH43" s="92"/>
      <c r="AI43" s="138"/>
      <c r="AJ43" s="61"/>
      <c r="AK43" s="222"/>
      <c r="AL43" s="92"/>
      <c r="AM43" s="138"/>
      <c r="AN43" s="106"/>
      <c r="AO43" s="229" t="s">
        <v>381</v>
      </c>
    </row>
    <row r="44" spans="1:41" ht="90" x14ac:dyDescent="0.25">
      <c r="A44" s="715"/>
      <c r="B44" s="718"/>
      <c r="C44" s="688"/>
      <c r="D44" s="687" t="s">
        <v>143</v>
      </c>
      <c r="E44" s="84" t="s">
        <v>154</v>
      </c>
      <c r="F44" s="83" t="s">
        <v>198</v>
      </c>
      <c r="G44" s="107"/>
      <c r="H44" s="104">
        <v>0</v>
      </c>
      <c r="I44" s="83" t="s">
        <v>312</v>
      </c>
      <c r="J44" s="83" t="s">
        <v>313</v>
      </c>
      <c r="K44" s="148">
        <v>2</v>
      </c>
      <c r="L44" s="138">
        <v>100</v>
      </c>
      <c r="M44" s="92"/>
      <c r="N44" s="138"/>
      <c r="O44" s="92"/>
      <c r="P44" s="138"/>
      <c r="Q44" s="92"/>
      <c r="R44" s="138"/>
      <c r="S44" s="61"/>
      <c r="T44" s="149"/>
      <c r="U44" s="149"/>
      <c r="V44" s="179"/>
      <c r="W44" s="149"/>
      <c r="X44" s="138"/>
      <c r="Y44" s="149"/>
      <c r="Z44" s="138"/>
      <c r="AA44" s="149"/>
      <c r="AB44" s="138"/>
      <c r="AC44" s="92"/>
      <c r="AD44" s="138"/>
      <c r="AE44" s="92"/>
      <c r="AF44" s="138"/>
      <c r="AG44" s="107"/>
      <c r="AH44" s="92"/>
      <c r="AI44" s="138"/>
      <c r="AJ44" s="61"/>
      <c r="AK44" s="170"/>
      <c r="AL44" s="92"/>
      <c r="AM44" s="138"/>
      <c r="AN44" s="106"/>
      <c r="AO44" s="229" t="s">
        <v>381</v>
      </c>
    </row>
    <row r="45" spans="1:41" ht="84" customHeight="1" x14ac:dyDescent="0.25">
      <c r="A45" s="715"/>
      <c r="B45" s="718"/>
      <c r="C45" s="688"/>
      <c r="D45" s="688"/>
      <c r="E45" s="86" t="s">
        <v>155</v>
      </c>
      <c r="F45" s="82" t="s">
        <v>199</v>
      </c>
      <c r="G45" s="107"/>
      <c r="H45" s="104">
        <v>0</v>
      </c>
      <c r="I45" s="107" t="s">
        <v>314</v>
      </c>
      <c r="J45" s="83" t="s">
        <v>315</v>
      </c>
      <c r="K45" s="107"/>
      <c r="L45" s="138">
        <v>25</v>
      </c>
      <c r="M45" s="92"/>
      <c r="N45" s="138">
        <v>50</v>
      </c>
      <c r="O45" s="92"/>
      <c r="P45" s="138">
        <v>75</v>
      </c>
      <c r="Q45" s="92"/>
      <c r="R45" s="138">
        <v>100</v>
      </c>
      <c r="S45" s="61"/>
      <c r="T45" s="149">
        <v>16000000</v>
      </c>
      <c r="U45" s="149">
        <v>4000000</v>
      </c>
      <c r="V45" s="179" t="s">
        <v>362</v>
      </c>
      <c r="W45" s="149">
        <v>4000000</v>
      </c>
      <c r="X45" s="138" t="s">
        <v>362</v>
      </c>
      <c r="Y45" s="149">
        <v>4000000</v>
      </c>
      <c r="Z45" s="138" t="s">
        <v>362</v>
      </c>
      <c r="AA45" s="149">
        <v>4000000</v>
      </c>
      <c r="AB45" s="138" t="s">
        <v>362</v>
      </c>
      <c r="AC45" s="92"/>
      <c r="AD45" s="138">
        <v>100</v>
      </c>
      <c r="AE45" s="92"/>
      <c r="AF45" s="138"/>
      <c r="AG45" s="107"/>
      <c r="AH45" s="92"/>
      <c r="AI45" s="138"/>
      <c r="AJ45" s="61"/>
      <c r="AK45" s="61"/>
      <c r="AL45" s="92"/>
      <c r="AM45" s="138"/>
      <c r="AN45" s="106"/>
      <c r="AO45" s="229" t="s">
        <v>381</v>
      </c>
    </row>
    <row r="46" spans="1:41" ht="45" x14ac:dyDescent="0.25">
      <c r="A46" s="715"/>
      <c r="B46" s="718"/>
      <c r="C46" s="688"/>
      <c r="D46" s="689"/>
      <c r="E46" s="87" t="s">
        <v>156</v>
      </c>
      <c r="F46" s="83" t="s">
        <v>200</v>
      </c>
      <c r="G46" s="92"/>
      <c r="H46" s="104">
        <v>0</v>
      </c>
      <c r="I46" s="107" t="s">
        <v>316</v>
      </c>
      <c r="J46" s="107" t="s">
        <v>317</v>
      </c>
      <c r="K46" s="92"/>
      <c r="L46" s="138"/>
      <c r="M46" s="92"/>
      <c r="N46" s="138"/>
      <c r="O46" s="92">
        <v>1</v>
      </c>
      <c r="P46" s="138">
        <v>100</v>
      </c>
      <c r="Q46" s="92"/>
      <c r="R46" s="138"/>
      <c r="T46" s="152"/>
      <c r="U46" s="92"/>
      <c r="V46" s="138"/>
      <c r="W46" s="92"/>
      <c r="X46" s="138"/>
      <c r="Y46" s="149">
        <v>5000000</v>
      </c>
      <c r="Z46" s="138" t="s">
        <v>366</v>
      </c>
      <c r="AA46" s="92"/>
      <c r="AB46" s="138"/>
      <c r="AC46" s="92"/>
      <c r="AD46" s="138">
        <v>100</v>
      </c>
      <c r="AE46" s="92"/>
      <c r="AF46" s="138"/>
      <c r="AG46" s="92"/>
      <c r="AH46" s="92"/>
      <c r="AI46" s="138"/>
      <c r="AK46" s="61"/>
      <c r="AL46" s="92"/>
      <c r="AM46" s="138"/>
      <c r="AN46" s="92"/>
      <c r="AO46" s="229" t="s">
        <v>381</v>
      </c>
    </row>
    <row r="47" spans="1:41" ht="60" x14ac:dyDescent="0.25">
      <c r="A47" s="715"/>
      <c r="B47" s="718"/>
      <c r="C47" s="688"/>
      <c r="D47" s="719" t="s">
        <v>144</v>
      </c>
      <c r="E47" s="83" t="s">
        <v>157</v>
      </c>
      <c r="F47" s="82" t="s">
        <v>201</v>
      </c>
      <c r="G47" s="92"/>
      <c r="H47" s="104">
        <v>375</v>
      </c>
      <c r="I47" s="243" t="s">
        <v>318</v>
      </c>
      <c r="J47" s="114" t="s">
        <v>318</v>
      </c>
      <c r="K47" s="92"/>
      <c r="L47" s="138">
        <v>25</v>
      </c>
      <c r="M47" s="92"/>
      <c r="N47" s="138">
        <v>50</v>
      </c>
      <c r="O47" s="92"/>
      <c r="P47" s="157">
        <v>75</v>
      </c>
      <c r="Q47" s="81"/>
      <c r="R47" s="138">
        <v>100</v>
      </c>
      <c r="S47" s="61"/>
      <c r="T47" s="152">
        <v>920000000</v>
      </c>
      <c r="U47" s="152">
        <v>230000000</v>
      </c>
      <c r="V47" s="138" t="s">
        <v>362</v>
      </c>
      <c r="W47" s="152">
        <v>230000000</v>
      </c>
      <c r="X47" s="138" t="s">
        <v>362</v>
      </c>
      <c r="Y47" s="152">
        <v>230000000</v>
      </c>
      <c r="Z47" s="138" t="s">
        <v>362</v>
      </c>
      <c r="AA47" s="152">
        <v>230000000</v>
      </c>
      <c r="AB47" s="138" t="s">
        <v>362</v>
      </c>
      <c r="AC47" s="92"/>
      <c r="AD47" s="138"/>
      <c r="AE47" s="92"/>
      <c r="AF47" s="138"/>
      <c r="AG47" s="92"/>
      <c r="AH47" s="92"/>
      <c r="AI47" s="138"/>
      <c r="AJ47" s="170"/>
      <c r="AK47" s="222"/>
      <c r="AL47" s="152">
        <v>920000000</v>
      </c>
      <c r="AM47" s="138">
        <v>100</v>
      </c>
      <c r="AN47" s="82" t="s">
        <v>372</v>
      </c>
      <c r="AO47" s="229" t="s">
        <v>381</v>
      </c>
    </row>
    <row r="48" spans="1:41" ht="150" customHeight="1" x14ac:dyDescent="0.25">
      <c r="A48" s="715"/>
      <c r="B48" s="718"/>
      <c r="C48" s="688"/>
      <c r="D48" s="721"/>
      <c r="E48" s="83" t="s">
        <v>158</v>
      </c>
      <c r="F48" s="83" t="s">
        <v>202</v>
      </c>
      <c r="G48" s="92"/>
      <c r="H48" s="104">
        <v>100</v>
      </c>
      <c r="I48" s="114" t="s">
        <v>319</v>
      </c>
      <c r="J48" s="243" t="s">
        <v>319</v>
      </c>
      <c r="K48" s="81"/>
      <c r="L48" s="157">
        <v>25</v>
      </c>
      <c r="M48" s="81"/>
      <c r="N48" s="138">
        <v>50</v>
      </c>
      <c r="O48" s="81"/>
      <c r="P48" s="157">
        <v>75</v>
      </c>
      <c r="Q48" s="92"/>
      <c r="R48" s="138">
        <v>100</v>
      </c>
      <c r="S48" s="61"/>
      <c r="T48" s="152">
        <v>144000000</v>
      </c>
      <c r="U48" s="152">
        <v>36000000</v>
      </c>
      <c r="V48" s="138" t="s">
        <v>362</v>
      </c>
      <c r="W48" s="152">
        <v>36000000</v>
      </c>
      <c r="X48" s="138" t="s">
        <v>362</v>
      </c>
      <c r="Y48" s="152">
        <v>36000000</v>
      </c>
      <c r="Z48" s="138" t="s">
        <v>362</v>
      </c>
      <c r="AA48" s="152">
        <v>36000000</v>
      </c>
      <c r="AB48" s="138" t="s">
        <v>362</v>
      </c>
      <c r="AC48" s="92"/>
      <c r="AD48" s="138"/>
      <c r="AE48" s="92"/>
      <c r="AF48" s="138"/>
      <c r="AG48" s="92"/>
      <c r="AH48" s="92"/>
      <c r="AI48" s="138"/>
      <c r="AJ48" s="170"/>
      <c r="AK48" s="61"/>
      <c r="AL48" s="152">
        <v>144000000</v>
      </c>
      <c r="AM48" s="138">
        <v>100</v>
      </c>
      <c r="AN48" s="82" t="s">
        <v>372</v>
      </c>
      <c r="AO48" s="229" t="s">
        <v>381</v>
      </c>
    </row>
    <row r="49" spans="1:41" ht="105" x14ac:dyDescent="0.25">
      <c r="A49" s="716"/>
      <c r="B49" s="718"/>
      <c r="C49" s="689"/>
      <c r="D49" s="82" t="s">
        <v>145</v>
      </c>
      <c r="E49" s="85" t="s">
        <v>145</v>
      </c>
      <c r="F49" s="85" t="s">
        <v>145</v>
      </c>
      <c r="G49" s="101"/>
      <c r="H49" s="115">
        <v>1</v>
      </c>
      <c r="I49" s="116" t="s">
        <v>320</v>
      </c>
      <c r="J49" s="116" t="s">
        <v>321</v>
      </c>
      <c r="K49" s="158"/>
      <c r="L49" s="141"/>
      <c r="M49" s="159"/>
      <c r="N49" s="141">
        <v>50</v>
      </c>
      <c r="O49" s="159"/>
      <c r="P49" s="141">
        <v>50</v>
      </c>
      <c r="Q49" s="159"/>
      <c r="R49" s="141"/>
      <c r="T49" s="142">
        <v>200000000</v>
      </c>
      <c r="U49" s="101"/>
      <c r="V49" s="141"/>
      <c r="W49" s="142">
        <v>100000000</v>
      </c>
      <c r="X49" s="141" t="s">
        <v>367</v>
      </c>
      <c r="Y49" s="142">
        <v>100000000</v>
      </c>
      <c r="Z49" s="141" t="s">
        <v>367</v>
      </c>
      <c r="AA49" s="101"/>
      <c r="AB49" s="141"/>
      <c r="AC49" s="142">
        <v>100000000</v>
      </c>
      <c r="AD49" s="141">
        <v>50</v>
      </c>
      <c r="AE49" s="101"/>
      <c r="AF49" s="141"/>
      <c r="AG49" s="101"/>
      <c r="AH49" s="101"/>
      <c r="AI49" s="141"/>
      <c r="AJ49" s="61"/>
      <c r="AK49" s="246"/>
      <c r="AL49" s="142">
        <v>100000000</v>
      </c>
      <c r="AM49" s="141">
        <v>50</v>
      </c>
      <c r="AN49" s="116" t="s">
        <v>373</v>
      </c>
      <c r="AO49" s="229" t="s">
        <v>381</v>
      </c>
    </row>
    <row r="50" spans="1:41" ht="45" x14ac:dyDescent="0.25">
      <c r="A50" s="714" t="s">
        <v>26</v>
      </c>
      <c r="B50" s="718"/>
      <c r="C50" s="687" t="s">
        <v>132</v>
      </c>
      <c r="D50" s="714" t="s">
        <v>146</v>
      </c>
      <c r="E50" s="708"/>
      <c r="F50" s="87" t="s">
        <v>203</v>
      </c>
      <c r="G50" s="94"/>
      <c r="H50" s="117">
        <v>1</v>
      </c>
      <c r="I50" s="94" t="s">
        <v>322</v>
      </c>
      <c r="J50" s="118" t="s">
        <v>323</v>
      </c>
      <c r="K50" s="94">
        <v>6</v>
      </c>
      <c r="L50" s="160">
        <v>25</v>
      </c>
      <c r="M50" s="94">
        <v>6</v>
      </c>
      <c r="N50" s="160">
        <v>50</v>
      </c>
      <c r="O50" s="94">
        <v>6</v>
      </c>
      <c r="P50" s="160">
        <v>75</v>
      </c>
      <c r="Q50" s="94">
        <v>6</v>
      </c>
      <c r="R50" s="160">
        <v>100</v>
      </c>
      <c r="S50" s="61"/>
      <c r="T50" s="94"/>
      <c r="U50" s="94"/>
      <c r="V50" s="160"/>
      <c r="W50" s="94"/>
      <c r="X50" s="160"/>
      <c r="Y50" s="94"/>
      <c r="Z50" s="160"/>
      <c r="AA50" s="94"/>
      <c r="AB50" s="160"/>
      <c r="AC50" s="94"/>
      <c r="AD50" s="160"/>
      <c r="AE50" s="94"/>
      <c r="AF50" s="160"/>
      <c r="AG50" s="94"/>
      <c r="AH50" s="94"/>
      <c r="AI50" s="160"/>
      <c r="AJ50" s="61"/>
      <c r="AK50" s="170"/>
      <c r="AL50" s="94"/>
      <c r="AM50" s="160"/>
      <c r="AN50" s="118" t="s">
        <v>374</v>
      </c>
      <c r="AO50" s="230" t="s">
        <v>382</v>
      </c>
    </row>
    <row r="51" spans="1:41" ht="75" x14ac:dyDescent="0.25">
      <c r="A51" s="715"/>
      <c r="B51" s="687" t="s">
        <v>134</v>
      </c>
      <c r="C51" s="688"/>
      <c r="D51" s="715"/>
      <c r="E51" s="709"/>
      <c r="F51" s="87" t="s">
        <v>204</v>
      </c>
      <c r="G51" s="94"/>
      <c r="H51" s="117">
        <v>0</v>
      </c>
      <c r="I51" s="119" t="s">
        <v>324</v>
      </c>
      <c r="J51" s="118" t="s">
        <v>325</v>
      </c>
      <c r="K51" s="119">
        <v>6</v>
      </c>
      <c r="L51" s="160">
        <v>25</v>
      </c>
      <c r="M51" s="94">
        <v>6</v>
      </c>
      <c r="N51" s="160">
        <v>50</v>
      </c>
      <c r="O51" s="94">
        <v>6</v>
      </c>
      <c r="P51" s="160">
        <v>75</v>
      </c>
      <c r="Q51" s="94">
        <v>6</v>
      </c>
      <c r="R51" s="160">
        <v>100</v>
      </c>
      <c r="T51" s="94"/>
      <c r="U51" s="94"/>
      <c r="V51" s="160"/>
      <c r="W51" s="94"/>
      <c r="X51" s="160"/>
      <c r="Y51" s="94"/>
      <c r="Z51" s="160"/>
      <c r="AA51" s="94"/>
      <c r="AB51" s="160"/>
      <c r="AC51" s="94"/>
      <c r="AD51" s="160"/>
      <c r="AE51" s="94"/>
      <c r="AF51" s="160"/>
      <c r="AG51" s="94"/>
      <c r="AH51" s="94"/>
      <c r="AI51" s="160"/>
      <c r="AJ51" s="61"/>
      <c r="AK51" s="170"/>
      <c r="AL51" s="94"/>
      <c r="AM51" s="160"/>
      <c r="AN51" s="118" t="s">
        <v>374</v>
      </c>
      <c r="AO51" s="230" t="s">
        <v>382</v>
      </c>
    </row>
    <row r="52" spans="1:41" ht="60" x14ac:dyDescent="0.25">
      <c r="A52" s="715"/>
      <c r="B52" s="688"/>
      <c r="C52" s="688"/>
      <c r="D52" s="715"/>
      <c r="E52" s="709"/>
      <c r="F52" s="87" t="s">
        <v>205</v>
      </c>
      <c r="G52" s="94"/>
      <c r="H52" s="117">
        <v>0</v>
      </c>
      <c r="I52" s="120" t="s">
        <v>326</v>
      </c>
      <c r="J52" s="118" t="s">
        <v>327</v>
      </c>
      <c r="K52" s="119">
        <v>1</v>
      </c>
      <c r="L52" s="160">
        <v>25</v>
      </c>
      <c r="M52" s="94">
        <v>1</v>
      </c>
      <c r="N52" s="160">
        <v>50</v>
      </c>
      <c r="O52" s="94">
        <v>1</v>
      </c>
      <c r="P52" s="160">
        <v>75</v>
      </c>
      <c r="Q52" s="94">
        <v>1</v>
      </c>
      <c r="R52" s="160">
        <v>100</v>
      </c>
      <c r="S52" s="170"/>
      <c r="T52" s="161">
        <v>4000000</v>
      </c>
      <c r="U52" s="161">
        <v>1000000</v>
      </c>
      <c r="V52" s="181">
        <v>25</v>
      </c>
      <c r="W52" s="161">
        <v>1000000</v>
      </c>
      <c r="X52" s="181">
        <v>25</v>
      </c>
      <c r="Y52" s="161">
        <v>1000000</v>
      </c>
      <c r="Z52" s="181">
        <v>25</v>
      </c>
      <c r="AA52" s="161">
        <v>1000000</v>
      </c>
      <c r="AB52" s="160"/>
      <c r="AC52" s="94"/>
      <c r="AD52" s="160">
        <v>100</v>
      </c>
      <c r="AE52" s="94"/>
      <c r="AF52" s="160"/>
      <c r="AG52" s="94"/>
      <c r="AH52" s="94"/>
      <c r="AI52" s="160"/>
      <c r="AJ52" s="61"/>
      <c r="AK52" s="170"/>
      <c r="AL52" s="94"/>
      <c r="AM52" s="160"/>
      <c r="AN52" s="94"/>
      <c r="AO52" s="230" t="s">
        <v>382</v>
      </c>
    </row>
    <row r="53" spans="1:41" ht="60" x14ac:dyDescent="0.25">
      <c r="A53" s="715"/>
      <c r="B53" s="688"/>
      <c r="C53" s="688"/>
      <c r="D53" s="715"/>
      <c r="E53" s="709"/>
      <c r="F53" s="87" t="s">
        <v>206</v>
      </c>
      <c r="G53" s="94"/>
      <c r="H53" s="117">
        <v>0</v>
      </c>
      <c r="I53" s="119" t="s">
        <v>328</v>
      </c>
      <c r="J53" s="119" t="s">
        <v>328</v>
      </c>
      <c r="K53" s="119">
        <v>1</v>
      </c>
      <c r="L53" s="160">
        <v>25</v>
      </c>
      <c r="M53" s="94">
        <v>1</v>
      </c>
      <c r="N53" s="160">
        <v>50</v>
      </c>
      <c r="O53" s="94">
        <v>1</v>
      </c>
      <c r="P53" s="160">
        <v>75</v>
      </c>
      <c r="Q53" s="94">
        <v>1</v>
      </c>
      <c r="R53" s="160">
        <v>100</v>
      </c>
      <c r="S53" s="61"/>
      <c r="T53" s="161">
        <v>4000000</v>
      </c>
      <c r="U53" s="161">
        <v>1000000</v>
      </c>
      <c r="V53" s="181">
        <v>25</v>
      </c>
      <c r="W53" s="161">
        <v>1000000</v>
      </c>
      <c r="X53" s="181">
        <v>25</v>
      </c>
      <c r="Y53" s="161">
        <v>1000000</v>
      </c>
      <c r="Z53" s="181">
        <v>25</v>
      </c>
      <c r="AA53" s="161">
        <v>1000000</v>
      </c>
      <c r="AB53" s="160"/>
      <c r="AC53" s="94"/>
      <c r="AD53" s="160">
        <v>100</v>
      </c>
      <c r="AE53" s="94"/>
      <c r="AF53" s="160"/>
      <c r="AG53" s="94"/>
      <c r="AH53" s="94"/>
      <c r="AI53" s="160"/>
      <c r="AJ53" s="61"/>
      <c r="AK53" s="61"/>
      <c r="AL53" s="94"/>
      <c r="AM53" s="160"/>
      <c r="AN53" s="94"/>
      <c r="AO53" s="230" t="s">
        <v>382</v>
      </c>
    </row>
    <row r="54" spans="1:41" ht="45" x14ac:dyDescent="0.25">
      <c r="A54" s="715"/>
      <c r="B54" s="688"/>
      <c r="C54" s="688"/>
      <c r="D54" s="715"/>
      <c r="E54" s="709"/>
      <c r="F54" s="87" t="s">
        <v>207</v>
      </c>
      <c r="G54" s="94"/>
      <c r="H54" s="117">
        <v>0</v>
      </c>
      <c r="I54" s="119" t="s">
        <v>329</v>
      </c>
      <c r="J54" s="118" t="s">
        <v>330</v>
      </c>
      <c r="K54" s="119">
        <v>1</v>
      </c>
      <c r="L54" s="160">
        <v>25</v>
      </c>
      <c r="M54" s="94">
        <v>1</v>
      </c>
      <c r="N54" s="160">
        <v>50</v>
      </c>
      <c r="O54" s="94">
        <v>1</v>
      </c>
      <c r="P54" s="160">
        <v>75</v>
      </c>
      <c r="Q54" s="94">
        <v>1</v>
      </c>
      <c r="R54" s="160">
        <v>100</v>
      </c>
      <c r="T54" s="161">
        <v>4000000</v>
      </c>
      <c r="U54" s="161">
        <v>1000000</v>
      </c>
      <c r="V54" s="181">
        <v>25</v>
      </c>
      <c r="W54" s="161">
        <v>1000000</v>
      </c>
      <c r="X54" s="181">
        <v>25</v>
      </c>
      <c r="Y54" s="161">
        <v>1000000</v>
      </c>
      <c r="Z54" s="181">
        <v>25</v>
      </c>
      <c r="AA54" s="161">
        <v>1000000</v>
      </c>
      <c r="AB54" s="160"/>
      <c r="AC54" s="94"/>
      <c r="AD54" s="160">
        <v>100</v>
      </c>
      <c r="AE54" s="94"/>
      <c r="AF54" s="160"/>
      <c r="AG54" s="94"/>
      <c r="AH54" s="94"/>
      <c r="AI54" s="160"/>
      <c r="AJ54" s="61"/>
      <c r="AK54" s="61"/>
      <c r="AL54" s="94"/>
      <c r="AM54" s="160"/>
      <c r="AN54" s="94"/>
      <c r="AO54" s="230" t="s">
        <v>382</v>
      </c>
    </row>
    <row r="55" spans="1:41" ht="44.25" customHeight="1" x14ac:dyDescent="0.25">
      <c r="A55" s="715"/>
      <c r="B55" s="689"/>
      <c r="C55" s="688"/>
      <c r="D55" s="716"/>
      <c r="E55" s="710"/>
      <c r="F55" s="87" t="s">
        <v>208</v>
      </c>
      <c r="G55" s="94"/>
      <c r="H55" s="117">
        <v>0</v>
      </c>
      <c r="I55" s="120" t="s">
        <v>331</v>
      </c>
      <c r="J55" s="118" t="s">
        <v>332</v>
      </c>
      <c r="K55" s="119"/>
      <c r="L55" s="160">
        <v>25</v>
      </c>
      <c r="M55" s="94"/>
      <c r="N55" s="160">
        <v>50</v>
      </c>
      <c r="O55" s="94"/>
      <c r="P55" s="160">
        <v>75</v>
      </c>
      <c r="Q55" s="94"/>
      <c r="R55" s="160">
        <v>100</v>
      </c>
      <c r="S55" s="61"/>
      <c r="T55" s="94"/>
      <c r="U55" s="94"/>
      <c r="V55" s="160"/>
      <c r="W55" s="94"/>
      <c r="X55" s="160"/>
      <c r="Y55" s="94"/>
      <c r="Z55" s="160"/>
      <c r="AA55" s="94"/>
      <c r="AB55" s="160"/>
      <c r="AC55" s="94"/>
      <c r="AD55" s="160"/>
      <c r="AE55" s="94"/>
      <c r="AF55" s="160"/>
      <c r="AG55" s="94"/>
      <c r="AH55" s="94"/>
      <c r="AI55" s="160"/>
      <c r="AK55" s="61"/>
      <c r="AL55" s="94"/>
      <c r="AM55" s="160"/>
      <c r="AN55" s="94"/>
      <c r="AO55" s="230" t="s">
        <v>382</v>
      </c>
    </row>
    <row r="56" spans="1:41" hidden="1" x14ac:dyDescent="0.25">
      <c r="A56" s="715"/>
      <c r="B56" s="81"/>
      <c r="C56" s="688"/>
      <c r="D56" s="81"/>
      <c r="E56" s="81"/>
      <c r="F56" s="81"/>
      <c r="G56" s="81"/>
      <c r="H56" s="121"/>
      <c r="I56" s="81"/>
      <c r="J56" s="81"/>
      <c r="K56" s="81"/>
      <c r="L56" s="81"/>
      <c r="M56" s="81"/>
      <c r="N56" s="81"/>
      <c r="O56" s="81"/>
      <c r="P56" s="81"/>
      <c r="Q56" s="81"/>
      <c r="R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L56" s="81"/>
      <c r="AM56" s="81"/>
      <c r="AN56" s="81"/>
      <c r="AO56" s="231"/>
    </row>
    <row r="57" spans="1:41" hidden="1" x14ac:dyDescent="0.25">
      <c r="A57" s="715"/>
      <c r="B57" s="81"/>
      <c r="C57" s="6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L57" s="81"/>
      <c r="AM57" s="81"/>
      <c r="AN57" s="81"/>
      <c r="AO57" s="231"/>
    </row>
    <row r="58" spans="1:41" hidden="1" x14ac:dyDescent="0.25">
      <c r="A58" s="715"/>
      <c r="B58" s="81"/>
      <c r="C58" s="688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L58" s="81"/>
      <c r="AM58" s="81"/>
      <c r="AN58" s="81"/>
      <c r="AO58" s="231"/>
    </row>
    <row r="59" spans="1:41" hidden="1" x14ac:dyDescent="0.25">
      <c r="A59" s="716"/>
      <c r="B59" s="81"/>
      <c r="C59" s="688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L59" s="81"/>
      <c r="AM59" s="81"/>
      <c r="AN59" s="81"/>
      <c r="AO59" s="231"/>
    </row>
    <row r="60" spans="1:41" hidden="1" x14ac:dyDescent="0.25">
      <c r="A60" s="81"/>
      <c r="B60" s="81"/>
      <c r="C60" s="68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L60" s="81"/>
      <c r="AM60" s="81"/>
      <c r="AN60" s="81"/>
      <c r="AO60" s="231"/>
    </row>
    <row r="61" spans="1:41" hidden="1" x14ac:dyDescent="0.25">
      <c r="A61" s="81"/>
      <c r="B61" s="81"/>
      <c r="C61" s="689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L61" s="81"/>
      <c r="AM61" s="81"/>
      <c r="AN61" s="81"/>
      <c r="AO61" s="231"/>
    </row>
    <row r="62" spans="1:41" ht="38.25" x14ac:dyDescent="0.25">
      <c r="A62" s="712" t="s">
        <v>26</v>
      </c>
      <c r="B62" s="712" t="s">
        <v>135</v>
      </c>
      <c r="C62" s="712" t="s">
        <v>136</v>
      </c>
      <c r="D62" s="712" t="s">
        <v>147</v>
      </c>
      <c r="E62" s="712"/>
      <c r="F62" s="95" t="s">
        <v>209</v>
      </c>
      <c r="G62" s="136"/>
      <c r="H62" s="122">
        <v>1813</v>
      </c>
      <c r="I62" s="123" t="s">
        <v>333</v>
      </c>
      <c r="J62" s="123" t="s">
        <v>334</v>
      </c>
      <c r="K62" s="136">
        <v>12</v>
      </c>
      <c r="L62" s="162">
        <v>25</v>
      </c>
      <c r="M62" s="136">
        <v>12</v>
      </c>
      <c r="N62" s="162">
        <v>50</v>
      </c>
      <c r="O62" s="136">
        <v>12</v>
      </c>
      <c r="P62" s="162">
        <v>75</v>
      </c>
      <c r="Q62" s="136">
        <v>12</v>
      </c>
      <c r="R62" s="162">
        <v>100</v>
      </c>
      <c r="S62" s="244"/>
      <c r="T62" s="163">
        <v>0</v>
      </c>
      <c r="U62" s="182"/>
      <c r="V62" s="183"/>
      <c r="W62" s="182"/>
      <c r="X62" s="162"/>
      <c r="Y62" s="182"/>
      <c r="Z62" s="162"/>
      <c r="AA62" s="182"/>
      <c r="AB62" s="162"/>
      <c r="AC62" s="182"/>
      <c r="AD62" s="162"/>
      <c r="AE62" s="136"/>
      <c r="AF62" s="162"/>
      <c r="AG62" s="136"/>
      <c r="AH62" s="136"/>
      <c r="AI62" s="162"/>
      <c r="AJ62" s="248"/>
      <c r="AK62" s="246"/>
      <c r="AL62" s="136"/>
      <c r="AM62" s="162"/>
      <c r="AN62" s="188" t="s">
        <v>375</v>
      </c>
      <c r="AO62" s="232" t="s">
        <v>383</v>
      </c>
    </row>
    <row r="63" spans="1:41" ht="38.25" x14ac:dyDescent="0.25">
      <c r="A63" s="713"/>
      <c r="B63" s="713"/>
      <c r="C63" s="713"/>
      <c r="D63" s="713"/>
      <c r="E63" s="713"/>
      <c r="F63" s="95" t="s">
        <v>210</v>
      </c>
      <c r="G63" s="137"/>
      <c r="H63" s="124">
        <v>0</v>
      </c>
      <c r="I63" s="125" t="s">
        <v>335</v>
      </c>
      <c r="J63" s="126" t="s">
        <v>336</v>
      </c>
      <c r="K63" s="164"/>
      <c r="L63" s="165">
        <v>0.25</v>
      </c>
      <c r="M63" s="166"/>
      <c r="N63" s="165">
        <v>0.5</v>
      </c>
      <c r="O63" s="166"/>
      <c r="P63" s="167">
        <v>75</v>
      </c>
      <c r="Q63" s="166"/>
      <c r="R63" s="167">
        <v>100</v>
      </c>
      <c r="S63" s="61"/>
      <c r="T63" s="163">
        <v>0</v>
      </c>
      <c r="U63" s="182"/>
      <c r="V63" s="183"/>
      <c r="W63" s="182"/>
      <c r="X63" s="162"/>
      <c r="Y63" s="182"/>
      <c r="Z63" s="162"/>
      <c r="AA63" s="182"/>
      <c r="AB63" s="162"/>
      <c r="AC63" s="182"/>
      <c r="AD63" s="167"/>
      <c r="AE63" s="166"/>
      <c r="AF63" s="167"/>
      <c r="AG63" s="166"/>
      <c r="AH63" s="166"/>
      <c r="AI63" s="167"/>
      <c r="AJ63" s="170"/>
      <c r="AK63" s="170"/>
      <c r="AL63" s="166"/>
      <c r="AM63" s="167"/>
      <c r="AN63" s="188" t="s">
        <v>375</v>
      </c>
      <c r="AO63" s="232" t="s">
        <v>383</v>
      </c>
    </row>
    <row r="64" spans="1:41" ht="51" x14ac:dyDescent="0.25">
      <c r="A64" s="713"/>
      <c r="B64" s="713"/>
      <c r="C64" s="713"/>
      <c r="D64" s="713"/>
      <c r="E64" s="713"/>
      <c r="F64" s="95" t="s">
        <v>211</v>
      </c>
      <c r="G64" s="123"/>
      <c r="H64" s="127">
        <v>0</v>
      </c>
      <c r="I64" s="128" t="s">
        <v>337</v>
      </c>
      <c r="J64" s="126" t="s">
        <v>338</v>
      </c>
      <c r="K64" s="164"/>
      <c r="L64" s="165">
        <v>0.25</v>
      </c>
      <c r="M64" s="166"/>
      <c r="N64" s="165">
        <v>0.5</v>
      </c>
      <c r="O64" s="166"/>
      <c r="P64" s="167">
        <v>75</v>
      </c>
      <c r="Q64" s="166"/>
      <c r="R64" s="167">
        <v>100</v>
      </c>
      <c r="S64" s="61"/>
      <c r="T64" s="163">
        <v>0</v>
      </c>
      <c r="U64" s="182"/>
      <c r="V64" s="183"/>
      <c r="W64" s="182"/>
      <c r="X64" s="162"/>
      <c r="Y64" s="182"/>
      <c r="Z64" s="162"/>
      <c r="AA64" s="182"/>
      <c r="AB64" s="162"/>
      <c r="AC64" s="182"/>
      <c r="AD64" s="162"/>
      <c r="AE64" s="136"/>
      <c r="AF64" s="162"/>
      <c r="AG64" s="123"/>
      <c r="AH64" s="136"/>
      <c r="AI64" s="162"/>
      <c r="AJ64" s="61"/>
      <c r="AK64" s="170"/>
      <c r="AL64" s="136"/>
      <c r="AM64" s="162"/>
      <c r="AN64" s="188" t="s">
        <v>375</v>
      </c>
      <c r="AO64" s="233" t="s">
        <v>383</v>
      </c>
    </row>
    <row r="65" spans="1:41" ht="114.75" x14ac:dyDescent="0.25">
      <c r="A65" s="713"/>
      <c r="B65" s="713"/>
      <c r="C65" s="713"/>
      <c r="D65" s="713"/>
      <c r="E65" s="713"/>
      <c r="F65" s="96" t="s">
        <v>212</v>
      </c>
      <c r="G65" s="123"/>
      <c r="H65" s="129">
        <v>0</v>
      </c>
      <c r="I65" s="96" t="s">
        <v>339</v>
      </c>
      <c r="J65" s="130" t="s">
        <v>340</v>
      </c>
      <c r="K65" s="164"/>
      <c r="L65" s="165">
        <v>0.25</v>
      </c>
      <c r="M65" s="166"/>
      <c r="N65" s="165">
        <v>0.5</v>
      </c>
      <c r="O65" s="166"/>
      <c r="P65" s="167">
        <v>75</v>
      </c>
      <c r="Q65" s="166"/>
      <c r="R65" s="167">
        <v>100</v>
      </c>
      <c r="T65" s="163">
        <v>0</v>
      </c>
      <c r="U65" s="182"/>
      <c r="V65" s="183"/>
      <c r="W65" s="182"/>
      <c r="X65" s="162"/>
      <c r="Y65" s="182"/>
      <c r="Z65" s="162"/>
      <c r="AA65" s="182"/>
      <c r="AB65" s="162"/>
      <c r="AC65" s="182"/>
      <c r="AD65" s="162"/>
      <c r="AE65" s="136"/>
      <c r="AF65" s="162"/>
      <c r="AG65" s="123"/>
      <c r="AH65" s="136"/>
      <c r="AI65" s="162"/>
      <c r="AK65" s="170"/>
      <c r="AL65" s="136"/>
      <c r="AM65" s="162"/>
      <c r="AN65" s="188" t="s">
        <v>375</v>
      </c>
      <c r="AO65" s="233" t="s">
        <v>383</v>
      </c>
    </row>
    <row r="66" spans="1:41" ht="135" x14ac:dyDescent="0.25">
      <c r="A66" s="699" t="s">
        <v>26</v>
      </c>
      <c r="B66" s="701" t="s">
        <v>137</v>
      </c>
      <c r="C66" s="699" t="s">
        <v>132</v>
      </c>
      <c r="D66" s="705" t="s">
        <v>137</v>
      </c>
      <c r="E66" s="708"/>
      <c r="F66" s="87" t="s">
        <v>213</v>
      </c>
      <c r="G66" s="92"/>
      <c r="H66" s="687">
        <v>513</v>
      </c>
      <c r="I66" s="94" t="s">
        <v>341</v>
      </c>
      <c r="J66" s="681" t="s">
        <v>342</v>
      </c>
      <c r="K66" s="92">
        <v>1</v>
      </c>
      <c r="L66" s="138">
        <v>100</v>
      </c>
      <c r="M66" s="92"/>
      <c r="N66" s="138"/>
      <c r="O66" s="92"/>
      <c r="P66" s="138"/>
      <c r="Q66" s="92"/>
      <c r="R66" s="138"/>
      <c r="S66" s="61"/>
      <c r="T66" s="684" t="s">
        <v>361</v>
      </c>
      <c r="U66" s="149">
        <v>1000</v>
      </c>
      <c r="V66" s="180">
        <v>1</v>
      </c>
      <c r="W66" s="149"/>
      <c r="X66" s="138"/>
      <c r="Y66" s="149"/>
      <c r="Z66" s="138"/>
      <c r="AA66" s="149"/>
      <c r="AB66" s="138"/>
      <c r="AC66" s="149"/>
      <c r="AD66" s="138"/>
      <c r="AE66" s="92"/>
      <c r="AF66" s="138"/>
      <c r="AG66" s="92"/>
      <c r="AH66" s="92"/>
      <c r="AI66" s="138"/>
      <c r="AJ66" s="248"/>
      <c r="AK66" s="61"/>
      <c r="AL66" s="92"/>
      <c r="AM66" s="138"/>
      <c r="AN66" s="687" t="s">
        <v>368</v>
      </c>
      <c r="AO66" s="690" t="s">
        <v>384</v>
      </c>
    </row>
    <row r="67" spans="1:41" ht="90" x14ac:dyDescent="0.25">
      <c r="A67" s="700"/>
      <c r="B67" s="702"/>
      <c r="C67" s="700"/>
      <c r="D67" s="706"/>
      <c r="E67" s="709"/>
      <c r="F67" s="97" t="s">
        <v>214</v>
      </c>
      <c r="G67" s="92"/>
      <c r="H67" s="688"/>
      <c r="I67" s="93" t="s">
        <v>343</v>
      </c>
      <c r="J67" s="682"/>
      <c r="K67" s="92"/>
      <c r="L67" s="138"/>
      <c r="M67" s="92"/>
      <c r="N67" s="138"/>
      <c r="O67" s="92"/>
      <c r="P67" s="138"/>
      <c r="Q67" s="92"/>
      <c r="R67" s="138"/>
      <c r="T67" s="685"/>
      <c r="U67" s="149"/>
      <c r="V67" s="180"/>
      <c r="W67" s="149"/>
      <c r="X67" s="138"/>
      <c r="Y67" s="149"/>
      <c r="Z67" s="138"/>
      <c r="AA67" s="149"/>
      <c r="AB67" s="138"/>
      <c r="AC67" s="149"/>
      <c r="AD67" s="138"/>
      <c r="AE67" s="92"/>
      <c r="AF67" s="138"/>
      <c r="AG67" s="92"/>
      <c r="AH67" s="92"/>
      <c r="AI67" s="138"/>
      <c r="AJ67" s="248"/>
      <c r="AK67" s="170"/>
      <c r="AL67" s="92"/>
      <c r="AM67" s="138"/>
      <c r="AN67" s="688"/>
      <c r="AO67" s="691"/>
    </row>
    <row r="68" spans="1:41" ht="75" x14ac:dyDescent="0.25">
      <c r="A68" s="700"/>
      <c r="B68" s="702"/>
      <c r="C68" s="700"/>
      <c r="D68" s="706"/>
      <c r="E68" s="709"/>
      <c r="F68" s="93" t="s">
        <v>215</v>
      </c>
      <c r="G68" s="92"/>
      <c r="H68" s="688"/>
      <c r="I68" s="93" t="s">
        <v>344</v>
      </c>
      <c r="J68" s="682"/>
      <c r="K68" s="92"/>
      <c r="L68" s="138"/>
      <c r="M68" s="92"/>
      <c r="N68" s="138"/>
      <c r="O68" s="92"/>
      <c r="P68" s="138"/>
      <c r="Q68" s="92"/>
      <c r="R68" s="138"/>
      <c r="T68" s="685"/>
      <c r="U68" s="149"/>
      <c r="V68" s="180"/>
      <c r="W68" s="149"/>
      <c r="X68" s="138"/>
      <c r="Y68" s="149"/>
      <c r="Z68" s="138"/>
      <c r="AA68" s="149"/>
      <c r="AB68" s="138"/>
      <c r="AC68" s="149"/>
      <c r="AD68" s="138"/>
      <c r="AE68" s="92"/>
      <c r="AF68" s="138"/>
      <c r="AG68" s="92"/>
      <c r="AH68" s="92"/>
      <c r="AI68" s="138"/>
      <c r="AJ68" s="246"/>
      <c r="AL68" s="92"/>
      <c r="AM68" s="138"/>
      <c r="AN68" s="688"/>
      <c r="AO68" s="691"/>
    </row>
    <row r="69" spans="1:41" ht="120" x14ac:dyDescent="0.25">
      <c r="A69" s="700"/>
      <c r="B69" s="702"/>
      <c r="C69" s="700"/>
      <c r="D69" s="706"/>
      <c r="E69" s="709"/>
      <c r="F69" s="98" t="s">
        <v>216</v>
      </c>
      <c r="G69" s="92"/>
      <c r="H69" s="688"/>
      <c r="I69" s="93" t="s">
        <v>345</v>
      </c>
      <c r="J69" s="682"/>
      <c r="K69" s="92"/>
      <c r="L69" s="138"/>
      <c r="M69" s="92"/>
      <c r="N69" s="138"/>
      <c r="O69" s="92"/>
      <c r="P69" s="138"/>
      <c r="Q69" s="92"/>
      <c r="R69" s="138"/>
      <c r="S69" s="61"/>
      <c r="T69" s="685"/>
      <c r="U69" s="149"/>
      <c r="V69" s="180"/>
      <c r="W69" s="149"/>
      <c r="X69" s="138"/>
      <c r="Y69" s="149"/>
      <c r="Z69" s="138"/>
      <c r="AA69" s="149"/>
      <c r="AB69" s="138"/>
      <c r="AC69" s="149"/>
      <c r="AD69" s="138"/>
      <c r="AE69" s="92"/>
      <c r="AF69" s="138"/>
      <c r="AG69" s="92"/>
      <c r="AH69" s="92"/>
      <c r="AI69" s="138"/>
      <c r="AJ69" s="248"/>
      <c r="AK69" s="170"/>
      <c r="AL69" s="92"/>
      <c r="AM69" s="138"/>
      <c r="AN69" s="688"/>
      <c r="AO69" s="691"/>
    </row>
    <row r="70" spans="1:41" ht="135" x14ac:dyDescent="0.25">
      <c r="A70" s="700"/>
      <c r="B70" s="702"/>
      <c r="C70" s="700"/>
      <c r="D70" s="706"/>
      <c r="E70" s="709"/>
      <c r="F70" s="711" t="s">
        <v>217</v>
      </c>
      <c r="G70" s="92"/>
      <c r="H70" s="688"/>
      <c r="I70" s="131" t="s">
        <v>346</v>
      </c>
      <c r="J70" s="682"/>
      <c r="K70" s="92"/>
      <c r="L70" s="138"/>
      <c r="M70" s="92"/>
      <c r="N70" s="138"/>
      <c r="O70" s="92"/>
      <c r="P70" s="138"/>
      <c r="Q70" s="92"/>
      <c r="R70" s="138"/>
      <c r="T70" s="685"/>
      <c r="U70" s="149"/>
      <c r="V70" s="180"/>
      <c r="W70" s="149"/>
      <c r="X70" s="138"/>
      <c r="Y70" s="149"/>
      <c r="Z70" s="138"/>
      <c r="AA70" s="149"/>
      <c r="AB70" s="138"/>
      <c r="AC70" s="149"/>
      <c r="AD70" s="138"/>
      <c r="AE70" s="92"/>
      <c r="AF70" s="138"/>
      <c r="AG70" s="92"/>
      <c r="AH70" s="92"/>
      <c r="AI70" s="138"/>
      <c r="AJ70" s="248"/>
      <c r="AK70" s="170"/>
      <c r="AL70" s="92"/>
      <c r="AM70" s="138"/>
      <c r="AN70" s="688"/>
      <c r="AO70" s="691"/>
    </row>
    <row r="71" spans="1:41" ht="45" x14ac:dyDescent="0.25">
      <c r="A71" s="700"/>
      <c r="B71" s="702"/>
      <c r="C71" s="700"/>
      <c r="D71" s="706"/>
      <c r="E71" s="709"/>
      <c r="F71" s="711"/>
      <c r="G71" s="92"/>
      <c r="H71" s="688"/>
      <c r="I71" s="131" t="s">
        <v>347</v>
      </c>
      <c r="J71" s="682"/>
      <c r="K71" s="92"/>
      <c r="L71" s="138"/>
      <c r="M71" s="92"/>
      <c r="N71" s="138"/>
      <c r="O71" s="92"/>
      <c r="P71" s="138"/>
      <c r="Q71" s="92"/>
      <c r="R71" s="138"/>
      <c r="T71" s="685"/>
      <c r="U71" s="92"/>
      <c r="V71" s="138"/>
      <c r="W71" s="92"/>
      <c r="X71" s="138"/>
      <c r="Y71" s="92"/>
      <c r="Z71" s="138"/>
      <c r="AA71" s="92"/>
      <c r="AB71" s="138"/>
      <c r="AC71" s="92"/>
      <c r="AD71" s="138"/>
      <c r="AE71" s="92"/>
      <c r="AF71" s="138"/>
      <c r="AG71" s="92"/>
      <c r="AH71" s="92"/>
      <c r="AI71" s="138"/>
      <c r="AJ71" s="246"/>
      <c r="AL71" s="92"/>
      <c r="AM71" s="138"/>
      <c r="AN71" s="688"/>
      <c r="AO71" s="691"/>
    </row>
    <row r="72" spans="1:41" ht="75" x14ac:dyDescent="0.25">
      <c r="A72" s="700"/>
      <c r="B72" s="702"/>
      <c r="C72" s="700"/>
      <c r="D72" s="706"/>
      <c r="E72" s="709"/>
      <c r="F72" s="711"/>
      <c r="G72" s="92"/>
      <c r="H72" s="688"/>
      <c r="I72" s="131" t="s">
        <v>348</v>
      </c>
      <c r="J72" s="682"/>
      <c r="K72" s="92"/>
      <c r="L72" s="138"/>
      <c r="M72" s="92"/>
      <c r="N72" s="138"/>
      <c r="O72" s="92"/>
      <c r="P72" s="138"/>
      <c r="Q72" s="92"/>
      <c r="R72" s="138"/>
      <c r="S72" s="170"/>
      <c r="T72" s="685"/>
      <c r="U72" s="92"/>
      <c r="V72" s="138"/>
      <c r="W72" s="92"/>
      <c r="X72" s="138"/>
      <c r="Y72" s="92"/>
      <c r="Z72" s="138"/>
      <c r="AA72" s="92"/>
      <c r="AB72" s="138"/>
      <c r="AC72" s="92"/>
      <c r="AD72" s="138"/>
      <c r="AE72" s="92"/>
      <c r="AF72" s="138"/>
      <c r="AG72" s="92"/>
      <c r="AH72" s="92"/>
      <c r="AI72" s="138"/>
      <c r="AJ72" s="248"/>
      <c r="AK72" s="170"/>
      <c r="AL72" s="92"/>
      <c r="AM72" s="138"/>
      <c r="AN72" s="688"/>
      <c r="AO72" s="691"/>
    </row>
    <row r="73" spans="1:41" ht="60" x14ac:dyDescent="0.25">
      <c r="A73" s="700"/>
      <c r="B73" s="702"/>
      <c r="C73" s="700"/>
      <c r="D73" s="706"/>
      <c r="E73" s="709"/>
      <c r="F73" s="711"/>
      <c r="G73" s="92"/>
      <c r="H73" s="688"/>
      <c r="I73" s="131" t="s">
        <v>349</v>
      </c>
      <c r="J73" s="682"/>
      <c r="K73" s="92"/>
      <c r="L73" s="138"/>
      <c r="M73" s="92"/>
      <c r="N73" s="138"/>
      <c r="O73" s="92"/>
      <c r="P73" s="138"/>
      <c r="Q73" s="92"/>
      <c r="R73" s="138"/>
      <c r="S73" s="61"/>
      <c r="T73" s="685"/>
      <c r="U73" s="92"/>
      <c r="V73" s="138"/>
      <c r="W73" s="92"/>
      <c r="X73" s="138"/>
      <c r="Y73" s="92"/>
      <c r="Z73" s="138"/>
      <c r="AA73" s="92"/>
      <c r="AB73" s="138"/>
      <c r="AC73" s="92"/>
      <c r="AD73" s="138"/>
      <c r="AE73" s="92"/>
      <c r="AF73" s="138"/>
      <c r="AG73" s="92"/>
      <c r="AH73" s="92"/>
      <c r="AI73" s="138"/>
      <c r="AJ73" s="248"/>
      <c r="AK73" s="170"/>
      <c r="AL73" s="92"/>
      <c r="AM73" s="138"/>
      <c r="AN73" s="688"/>
      <c r="AO73" s="691"/>
    </row>
    <row r="74" spans="1:41" ht="180" x14ac:dyDescent="0.25">
      <c r="A74" s="700"/>
      <c r="B74" s="702"/>
      <c r="C74" s="700"/>
      <c r="D74" s="706"/>
      <c r="E74" s="709"/>
      <c r="F74" s="93" t="s">
        <v>218</v>
      </c>
      <c r="G74" s="92"/>
      <c r="H74" s="688"/>
      <c r="I74" s="97" t="s">
        <v>350</v>
      </c>
      <c r="J74" s="682"/>
      <c r="K74" s="92"/>
      <c r="L74" s="138"/>
      <c r="M74" s="92"/>
      <c r="N74" s="138"/>
      <c r="O74" s="92"/>
      <c r="P74" s="138"/>
      <c r="Q74" s="92"/>
      <c r="R74" s="138"/>
      <c r="T74" s="685"/>
      <c r="U74" s="92"/>
      <c r="V74" s="138"/>
      <c r="W74" s="92"/>
      <c r="X74" s="138"/>
      <c r="Y74" s="92"/>
      <c r="Z74" s="138"/>
      <c r="AA74" s="92"/>
      <c r="AB74" s="138"/>
      <c r="AC74" s="92"/>
      <c r="AD74" s="138"/>
      <c r="AE74" s="92"/>
      <c r="AF74" s="138"/>
      <c r="AG74" s="92"/>
      <c r="AH74" s="92"/>
      <c r="AI74" s="138"/>
      <c r="AJ74" s="248"/>
      <c r="AK74" s="170"/>
      <c r="AL74" s="92"/>
      <c r="AM74" s="138"/>
      <c r="AN74" s="688"/>
      <c r="AO74" s="691"/>
    </row>
    <row r="75" spans="1:41" ht="120" x14ac:dyDescent="0.25">
      <c r="A75" s="700"/>
      <c r="B75" s="702"/>
      <c r="C75" s="700"/>
      <c r="D75" s="706"/>
      <c r="E75" s="709"/>
      <c r="F75" s="87" t="s">
        <v>219</v>
      </c>
      <c r="G75" s="92"/>
      <c r="H75" s="688"/>
      <c r="I75" s="93" t="s">
        <v>220</v>
      </c>
      <c r="J75" s="682"/>
      <c r="K75" s="92"/>
      <c r="L75" s="138"/>
      <c r="M75" s="92"/>
      <c r="N75" s="138"/>
      <c r="O75" s="92"/>
      <c r="P75" s="138"/>
      <c r="Q75" s="92"/>
      <c r="R75" s="138"/>
      <c r="S75" s="61"/>
      <c r="T75" s="685"/>
      <c r="U75" s="92"/>
      <c r="V75" s="138"/>
      <c r="W75" s="92"/>
      <c r="X75" s="138"/>
      <c r="Y75" s="92"/>
      <c r="Z75" s="138"/>
      <c r="AA75" s="92"/>
      <c r="AB75" s="138"/>
      <c r="AC75" s="92"/>
      <c r="AD75" s="138"/>
      <c r="AE75" s="92"/>
      <c r="AF75" s="138"/>
      <c r="AG75" s="92"/>
      <c r="AH75" s="92"/>
      <c r="AI75" s="138"/>
      <c r="AJ75" s="61"/>
      <c r="AK75" s="61"/>
      <c r="AL75" s="92"/>
      <c r="AM75" s="138"/>
      <c r="AN75" s="688"/>
      <c r="AO75" s="691"/>
    </row>
    <row r="76" spans="1:41" ht="165" x14ac:dyDescent="0.25">
      <c r="A76" s="700"/>
      <c r="B76" s="702"/>
      <c r="C76" s="700"/>
      <c r="D76" s="706"/>
      <c r="E76" s="709"/>
      <c r="F76" s="94" t="s">
        <v>220</v>
      </c>
      <c r="G76" s="92"/>
      <c r="H76" s="688"/>
      <c r="I76" s="94" t="s">
        <v>351</v>
      </c>
      <c r="J76" s="682"/>
      <c r="K76" s="92"/>
      <c r="L76" s="138"/>
      <c r="M76" s="92"/>
      <c r="N76" s="138"/>
      <c r="O76" s="92"/>
      <c r="P76" s="138"/>
      <c r="Q76" s="92"/>
      <c r="R76" s="138"/>
      <c r="T76" s="685"/>
      <c r="U76" s="92"/>
      <c r="V76" s="138"/>
      <c r="W76" s="92"/>
      <c r="X76" s="138"/>
      <c r="Y76" s="92"/>
      <c r="Z76" s="138"/>
      <c r="AA76" s="92"/>
      <c r="AB76" s="138"/>
      <c r="AC76" s="92"/>
      <c r="AD76" s="138"/>
      <c r="AE76" s="92"/>
      <c r="AF76" s="138"/>
      <c r="AG76" s="92"/>
      <c r="AH76" s="92"/>
      <c r="AI76" s="138"/>
      <c r="AK76" s="170"/>
      <c r="AL76" s="92"/>
      <c r="AM76" s="138"/>
      <c r="AN76" s="688"/>
      <c r="AO76" s="691"/>
    </row>
    <row r="77" spans="1:41" ht="60" x14ac:dyDescent="0.25">
      <c r="A77" s="700"/>
      <c r="B77" s="702"/>
      <c r="C77" s="700"/>
      <c r="D77" s="706"/>
      <c r="E77" s="709"/>
      <c r="F77" s="92" t="s">
        <v>221</v>
      </c>
      <c r="G77" s="92"/>
      <c r="H77" s="688"/>
      <c r="I77" s="93" t="s">
        <v>352</v>
      </c>
      <c r="J77" s="682"/>
      <c r="K77" s="92"/>
      <c r="L77" s="138"/>
      <c r="M77" s="92"/>
      <c r="N77" s="138"/>
      <c r="O77" s="92"/>
      <c r="P77" s="138"/>
      <c r="Q77" s="92"/>
      <c r="R77" s="138"/>
      <c r="T77" s="685"/>
      <c r="U77" s="92"/>
      <c r="V77" s="138"/>
      <c r="W77" s="92"/>
      <c r="X77" s="138"/>
      <c r="Y77" s="92"/>
      <c r="Z77" s="138"/>
      <c r="AA77" s="92"/>
      <c r="AB77" s="138"/>
      <c r="AC77" s="92"/>
      <c r="AD77" s="138"/>
      <c r="AE77" s="92"/>
      <c r="AF77" s="138"/>
      <c r="AG77" s="92"/>
      <c r="AH77" s="92"/>
      <c r="AI77" s="138"/>
      <c r="AK77" s="246"/>
      <c r="AL77" s="92"/>
      <c r="AM77" s="138"/>
      <c r="AN77" s="688"/>
      <c r="AO77" s="691"/>
    </row>
    <row r="78" spans="1:41" ht="75" x14ac:dyDescent="0.25">
      <c r="A78" s="700"/>
      <c r="B78" s="702"/>
      <c r="C78" s="700"/>
      <c r="D78" s="706"/>
      <c r="E78" s="709"/>
      <c r="F78" s="94" t="s">
        <v>222</v>
      </c>
      <c r="G78" s="92"/>
      <c r="H78" s="688"/>
      <c r="I78" s="93" t="s">
        <v>353</v>
      </c>
      <c r="J78" s="682"/>
      <c r="K78" s="92"/>
      <c r="L78" s="138"/>
      <c r="M78" s="92"/>
      <c r="N78" s="138"/>
      <c r="O78" s="92"/>
      <c r="P78" s="138"/>
      <c r="Q78" s="92"/>
      <c r="R78" s="138"/>
      <c r="S78" s="61"/>
      <c r="T78" s="685"/>
      <c r="U78" s="92"/>
      <c r="V78" s="138"/>
      <c r="W78" s="92"/>
      <c r="X78" s="138"/>
      <c r="Y78" s="92"/>
      <c r="Z78" s="138"/>
      <c r="AA78" s="92"/>
      <c r="AB78" s="138"/>
      <c r="AC78" s="92"/>
      <c r="AD78" s="138"/>
      <c r="AE78" s="92"/>
      <c r="AF78" s="138"/>
      <c r="AG78" s="92"/>
      <c r="AH78" s="92"/>
      <c r="AI78" s="138"/>
      <c r="AJ78" s="248"/>
      <c r="AK78" s="61"/>
      <c r="AL78" s="92"/>
      <c r="AM78" s="138"/>
      <c r="AN78" s="688"/>
      <c r="AO78" s="691"/>
    </row>
    <row r="79" spans="1:41" ht="135" x14ac:dyDescent="0.25">
      <c r="A79" s="700"/>
      <c r="B79" s="703"/>
      <c r="C79" s="704"/>
      <c r="D79" s="707"/>
      <c r="E79" s="710"/>
      <c r="F79" s="83" t="s">
        <v>223</v>
      </c>
      <c r="G79" s="92"/>
      <c r="H79" s="689"/>
      <c r="I79" s="94" t="s">
        <v>354</v>
      </c>
      <c r="J79" s="683"/>
      <c r="K79" s="92"/>
      <c r="L79" s="138"/>
      <c r="M79" s="92"/>
      <c r="N79" s="138"/>
      <c r="O79" s="92"/>
      <c r="P79" s="138"/>
      <c r="Q79" s="92"/>
      <c r="R79" s="138"/>
      <c r="S79" s="244"/>
      <c r="T79" s="686"/>
      <c r="U79" s="92"/>
      <c r="V79" s="138"/>
      <c r="W79" s="92"/>
      <c r="X79" s="138"/>
      <c r="Y79" s="92"/>
      <c r="Z79" s="138"/>
      <c r="AA79" s="92"/>
      <c r="AB79" s="138"/>
      <c r="AC79" s="92"/>
      <c r="AD79" s="138"/>
      <c r="AE79" s="92"/>
      <c r="AF79" s="138"/>
      <c r="AG79" s="92"/>
      <c r="AH79" s="92"/>
      <c r="AI79" s="138"/>
      <c r="AJ79" s="170"/>
      <c r="AK79" s="247"/>
      <c r="AL79" s="92"/>
      <c r="AM79" s="138"/>
      <c r="AN79" s="689"/>
      <c r="AO79" s="692"/>
    </row>
    <row r="80" spans="1:41" ht="60" x14ac:dyDescent="0.25">
      <c r="A80" s="693" t="s">
        <v>26</v>
      </c>
      <c r="B80" s="693" t="s">
        <v>138</v>
      </c>
      <c r="C80" s="693" t="s">
        <v>132</v>
      </c>
      <c r="D80" s="694" t="s">
        <v>148</v>
      </c>
      <c r="E80" s="88" t="s">
        <v>159</v>
      </c>
      <c r="F80" s="99" t="s">
        <v>224</v>
      </c>
      <c r="G80" s="61"/>
      <c r="H80" s="100">
        <v>0</v>
      </c>
      <c r="I80" s="99" t="s">
        <v>355</v>
      </c>
      <c r="J80" s="99" t="s">
        <v>356</v>
      </c>
      <c r="K80" s="61">
        <v>1</v>
      </c>
      <c r="L80" s="168">
        <v>100</v>
      </c>
      <c r="M80" s="61"/>
      <c r="N80" s="168">
        <v>50</v>
      </c>
      <c r="O80" s="61"/>
      <c r="P80" s="168">
        <v>75</v>
      </c>
      <c r="Q80" s="61"/>
      <c r="R80" s="168">
        <v>100</v>
      </c>
      <c r="T80" s="169">
        <v>1000</v>
      </c>
      <c r="U80" s="174">
        <v>1000</v>
      </c>
      <c r="V80" s="184">
        <v>1</v>
      </c>
      <c r="W80" s="174"/>
      <c r="X80" s="168"/>
      <c r="Y80" s="174"/>
      <c r="Z80" s="168"/>
      <c r="AA80" s="174"/>
      <c r="AB80" s="168"/>
      <c r="AC80" s="174"/>
      <c r="AD80" s="168">
        <v>100</v>
      </c>
      <c r="AE80" s="61"/>
      <c r="AF80" s="168"/>
      <c r="AG80" s="61"/>
      <c r="AH80" s="61"/>
      <c r="AI80" s="168"/>
      <c r="AJ80" s="248"/>
      <c r="AK80" s="61"/>
      <c r="AL80" s="61"/>
      <c r="AM80" s="168"/>
      <c r="AN80" s="61"/>
      <c r="AO80" s="234" t="s">
        <v>378</v>
      </c>
    </row>
    <row r="81" spans="1:41" ht="75" x14ac:dyDescent="0.25">
      <c r="A81" s="693"/>
      <c r="B81" s="693"/>
      <c r="C81" s="693"/>
      <c r="D81" s="695"/>
      <c r="E81" s="697" t="s">
        <v>160</v>
      </c>
      <c r="F81" s="99" t="s">
        <v>225</v>
      </c>
      <c r="G81" s="61"/>
      <c r="H81" s="100">
        <v>0</v>
      </c>
      <c r="I81" s="99" t="s">
        <v>357</v>
      </c>
      <c r="J81" s="99" t="s">
        <v>358</v>
      </c>
      <c r="K81" s="170"/>
      <c r="L81" s="171">
        <v>25</v>
      </c>
      <c r="M81" s="170"/>
      <c r="N81" s="171">
        <v>50</v>
      </c>
      <c r="O81" s="170"/>
      <c r="P81" s="171">
        <v>75</v>
      </c>
      <c r="Q81" s="170"/>
      <c r="R81" s="171">
        <v>100</v>
      </c>
      <c r="S81" s="170"/>
      <c r="T81" s="169">
        <v>20000</v>
      </c>
      <c r="U81" s="174">
        <v>5000</v>
      </c>
      <c r="V81" s="184">
        <v>0.25</v>
      </c>
      <c r="W81" s="174">
        <v>5000</v>
      </c>
      <c r="X81" s="168">
        <v>50</v>
      </c>
      <c r="Y81" s="174">
        <v>5000</v>
      </c>
      <c r="Z81" s="168">
        <v>75</v>
      </c>
      <c r="AA81" s="174">
        <v>5000</v>
      </c>
      <c r="AB81" s="168">
        <v>100</v>
      </c>
      <c r="AC81" s="174"/>
      <c r="AD81" s="168">
        <v>50</v>
      </c>
      <c r="AE81" s="61"/>
      <c r="AF81" s="168"/>
      <c r="AG81" s="61"/>
      <c r="AH81" s="61"/>
      <c r="AI81" s="168"/>
      <c r="AJ81" s="249"/>
      <c r="AK81" s="61"/>
      <c r="AL81" s="61"/>
      <c r="AM81" s="168">
        <v>50</v>
      </c>
      <c r="AN81" s="99" t="s">
        <v>376</v>
      </c>
      <c r="AO81" s="234" t="s">
        <v>378</v>
      </c>
    </row>
    <row r="82" spans="1:41" ht="45" x14ac:dyDescent="0.25">
      <c r="A82" s="693"/>
      <c r="B82" s="693"/>
      <c r="C82" s="693"/>
      <c r="D82" s="696"/>
      <c r="E82" s="698"/>
      <c r="F82" s="100" t="s">
        <v>226</v>
      </c>
      <c r="G82" s="133"/>
      <c r="H82" s="132">
        <v>0</v>
      </c>
      <c r="I82" s="99" t="s">
        <v>359</v>
      </c>
      <c r="J82" s="133" t="s">
        <v>284</v>
      </c>
      <c r="K82" s="172">
        <v>1</v>
      </c>
      <c r="L82" s="173">
        <v>0.5</v>
      </c>
      <c r="M82" s="170"/>
      <c r="N82" s="173">
        <v>0.5</v>
      </c>
      <c r="O82" s="170"/>
      <c r="P82" s="171"/>
      <c r="Q82" s="61"/>
      <c r="R82" s="171"/>
      <c r="S82" s="170"/>
      <c r="T82" s="174">
        <v>2000</v>
      </c>
      <c r="U82" s="174">
        <v>1000</v>
      </c>
      <c r="V82" s="185">
        <v>50</v>
      </c>
      <c r="W82" s="174">
        <v>1000</v>
      </c>
      <c r="X82" s="168">
        <v>50</v>
      </c>
      <c r="Y82" s="174"/>
      <c r="Z82" s="168"/>
      <c r="AA82" s="174"/>
      <c r="AB82" s="168"/>
      <c r="AC82" s="174"/>
      <c r="AD82" s="168">
        <v>100</v>
      </c>
      <c r="AE82" s="61"/>
      <c r="AF82" s="168"/>
      <c r="AG82" s="133"/>
      <c r="AH82" s="61"/>
      <c r="AI82" s="168"/>
      <c r="AJ82" s="61"/>
      <c r="AK82" s="246"/>
      <c r="AL82" s="61"/>
      <c r="AM82" s="168"/>
      <c r="AN82" s="189"/>
      <c r="AO82" s="251" t="s">
        <v>378</v>
      </c>
    </row>
    <row r="83" spans="1:41" x14ac:dyDescent="0.25">
      <c r="K83" s="245"/>
      <c r="L83" s="245"/>
      <c r="M83" s="245"/>
      <c r="N83" s="245"/>
      <c r="O83" s="245"/>
      <c r="P83" s="245"/>
      <c r="R83" s="245"/>
      <c r="S83" s="245"/>
      <c r="AJ83" s="245"/>
      <c r="AK83" s="245"/>
    </row>
  </sheetData>
  <mergeCells count="88">
    <mergeCell ref="AP4:AP16"/>
    <mergeCell ref="AP17:AP29"/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L1:R1"/>
    <mergeCell ref="AC1:AN1"/>
    <mergeCell ref="K2:L2"/>
    <mergeCell ref="M2:N2"/>
    <mergeCell ref="O2:P2"/>
    <mergeCell ref="Q2:R2"/>
    <mergeCell ref="U2:V2"/>
    <mergeCell ref="W2:X2"/>
    <mergeCell ref="S1:S3"/>
    <mergeCell ref="U1:AB1"/>
    <mergeCell ref="AL2:AN2"/>
    <mergeCell ref="AO1:AQ2"/>
    <mergeCell ref="A4:A16"/>
    <mergeCell ref="B4:B16"/>
    <mergeCell ref="C4:C12"/>
    <mergeCell ref="D4:D16"/>
    <mergeCell ref="F6:F9"/>
    <mergeCell ref="E11:E12"/>
    <mergeCell ref="E13:E16"/>
    <mergeCell ref="Y2:Z2"/>
    <mergeCell ref="AA2:AB2"/>
    <mergeCell ref="AC2:AD2"/>
    <mergeCell ref="AE2:AG2"/>
    <mergeCell ref="AH2:AI2"/>
    <mergeCell ref="AJ2:AK2"/>
    <mergeCell ref="T1:T3"/>
    <mergeCell ref="A17:A27"/>
    <mergeCell ref="B17:B27"/>
    <mergeCell ref="C17:C27"/>
    <mergeCell ref="D17:D25"/>
    <mergeCell ref="E17:E25"/>
    <mergeCell ref="D26:D27"/>
    <mergeCell ref="E26:E27"/>
    <mergeCell ref="A28:A36"/>
    <mergeCell ref="B28:B36"/>
    <mergeCell ref="C28:C39"/>
    <mergeCell ref="D28:D32"/>
    <mergeCell ref="E28:E31"/>
    <mergeCell ref="D33:D36"/>
    <mergeCell ref="E33:E39"/>
    <mergeCell ref="A37:A39"/>
    <mergeCell ref="B37:B39"/>
    <mergeCell ref="D37:D39"/>
    <mergeCell ref="A40:A49"/>
    <mergeCell ref="B40:B50"/>
    <mergeCell ref="C40:C49"/>
    <mergeCell ref="D40:D43"/>
    <mergeCell ref="E40:E43"/>
    <mergeCell ref="D44:D46"/>
    <mergeCell ref="D47:D48"/>
    <mergeCell ref="A50:A59"/>
    <mergeCell ref="C50:C61"/>
    <mergeCell ref="D50:D55"/>
    <mergeCell ref="E50:E55"/>
    <mergeCell ref="B51:B55"/>
    <mergeCell ref="A62:A65"/>
    <mergeCell ref="B62:B65"/>
    <mergeCell ref="C62:C65"/>
    <mergeCell ref="D62:D65"/>
    <mergeCell ref="E62:E65"/>
    <mergeCell ref="J66:J79"/>
    <mergeCell ref="T66:T79"/>
    <mergeCell ref="AN66:AN79"/>
    <mergeCell ref="AO66:AO79"/>
    <mergeCell ref="A80:A82"/>
    <mergeCell ref="B80:B82"/>
    <mergeCell ref="C80:C82"/>
    <mergeCell ref="D80:D82"/>
    <mergeCell ref="E81:E82"/>
    <mergeCell ref="H66:H79"/>
    <mergeCell ref="A66:A79"/>
    <mergeCell ref="B66:B79"/>
    <mergeCell ref="C66:C79"/>
    <mergeCell ref="D66:D79"/>
    <mergeCell ref="E66:E79"/>
    <mergeCell ref="F70:F7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topLeftCell="A4" workbookViewId="0">
      <selection activeCell="G17" sqref="G17"/>
    </sheetView>
  </sheetViews>
  <sheetFormatPr baseColWidth="10" defaultRowHeight="15" x14ac:dyDescent="0.25"/>
  <cols>
    <col min="1" max="1" width="12.85546875" style="53" customWidth="1"/>
    <col min="2" max="2" width="9.42578125" style="53" customWidth="1"/>
    <col min="3" max="3" width="7.85546875" style="53" customWidth="1"/>
    <col min="4" max="4" width="12" style="53" customWidth="1"/>
    <col min="5" max="5" width="11.5703125" style="53" customWidth="1"/>
    <col min="6" max="6" width="27.5703125" style="53" customWidth="1"/>
    <col min="7" max="7" width="38.28515625" style="53" customWidth="1"/>
    <col min="8" max="8" width="11.7109375" style="397" customWidth="1"/>
    <col min="9" max="9" width="20.85546875" style="53" customWidth="1"/>
    <col min="10" max="10" width="18.42578125" style="53" customWidth="1"/>
    <col min="11" max="12" width="11.42578125" style="53" customWidth="1"/>
    <col min="13" max="14" width="11.42578125" style="398" customWidth="1"/>
    <col min="15" max="19" width="11.42578125" style="53" customWidth="1"/>
    <col min="20" max="20" width="11.7109375" style="53" customWidth="1"/>
    <col min="21" max="21" width="11.42578125" style="53" customWidth="1"/>
    <col min="22" max="22" width="11.7109375" style="53" customWidth="1"/>
    <col min="23" max="23" width="11.42578125" style="53" customWidth="1"/>
    <col min="24" max="24" width="11.7109375" style="53" customWidth="1"/>
    <col min="25" max="25" width="11.42578125" style="53" customWidth="1"/>
    <col min="26" max="26" width="11.7109375" style="53" customWidth="1"/>
    <col min="27" max="27" width="11.42578125" style="53" customWidth="1"/>
    <col min="28" max="28" width="11.7109375" style="53" customWidth="1"/>
    <col min="29" max="29" width="11.42578125" style="53" customWidth="1"/>
    <col min="30" max="30" width="11.7109375" style="53" customWidth="1"/>
    <col min="31" max="31" width="11.42578125" style="53" customWidth="1"/>
    <col min="32" max="32" width="18.85546875" style="53" customWidth="1"/>
    <col min="33" max="38" width="11.42578125" style="53" customWidth="1"/>
    <col min="39" max="39" width="14" style="53" customWidth="1"/>
    <col min="40" max="40" width="12" style="53" customWidth="1"/>
    <col min="41" max="41" width="14" style="53" customWidth="1"/>
    <col min="42" max="42" width="11" style="53" customWidth="1"/>
    <col min="43" max="256" width="11.42578125" style="53"/>
    <col min="257" max="257" width="12.85546875" style="53" customWidth="1"/>
    <col min="258" max="258" width="9.42578125" style="53" customWidth="1"/>
    <col min="259" max="259" width="7.85546875" style="53" customWidth="1"/>
    <col min="260" max="260" width="12" style="53" customWidth="1"/>
    <col min="261" max="261" width="11.5703125" style="53" customWidth="1"/>
    <col min="262" max="262" width="27.5703125" style="53" customWidth="1"/>
    <col min="263" max="263" width="38.28515625" style="53" customWidth="1"/>
    <col min="264" max="264" width="11.7109375" style="53" customWidth="1"/>
    <col min="265" max="265" width="20.85546875" style="53" customWidth="1"/>
    <col min="266" max="266" width="18.42578125" style="53" customWidth="1"/>
    <col min="267" max="275" width="11.42578125" style="53" customWidth="1"/>
    <col min="276" max="276" width="11.7109375" style="53" customWidth="1"/>
    <col min="277" max="277" width="11.42578125" style="53" customWidth="1"/>
    <col min="278" max="278" width="11.7109375" style="53" customWidth="1"/>
    <col min="279" max="279" width="11.42578125" style="53" customWidth="1"/>
    <col min="280" max="280" width="11.7109375" style="53" customWidth="1"/>
    <col min="281" max="281" width="11.42578125" style="53" customWidth="1"/>
    <col min="282" max="282" width="11.7109375" style="53" customWidth="1"/>
    <col min="283" max="283" width="11.42578125" style="53" customWidth="1"/>
    <col min="284" max="284" width="11.7109375" style="53" customWidth="1"/>
    <col min="285" max="285" width="11.42578125" style="53" customWidth="1"/>
    <col min="286" max="286" width="11.7109375" style="53" customWidth="1"/>
    <col min="287" max="287" width="11.42578125" style="53" customWidth="1"/>
    <col min="288" max="288" width="18.85546875" style="53" customWidth="1"/>
    <col min="289" max="294" width="11.42578125" style="53" customWidth="1"/>
    <col min="295" max="295" width="14" style="53" customWidth="1"/>
    <col min="296" max="296" width="12" style="53" customWidth="1"/>
    <col min="297" max="297" width="14" style="53" customWidth="1"/>
    <col min="298" max="298" width="11" style="53" customWidth="1"/>
    <col min="299" max="512" width="11.42578125" style="53"/>
    <col min="513" max="513" width="12.85546875" style="53" customWidth="1"/>
    <col min="514" max="514" width="9.42578125" style="53" customWidth="1"/>
    <col min="515" max="515" width="7.85546875" style="53" customWidth="1"/>
    <col min="516" max="516" width="12" style="53" customWidth="1"/>
    <col min="517" max="517" width="11.5703125" style="53" customWidth="1"/>
    <col min="518" max="518" width="27.5703125" style="53" customWidth="1"/>
    <col min="519" max="519" width="38.28515625" style="53" customWidth="1"/>
    <col min="520" max="520" width="11.7109375" style="53" customWidth="1"/>
    <col min="521" max="521" width="20.85546875" style="53" customWidth="1"/>
    <col min="522" max="522" width="18.42578125" style="53" customWidth="1"/>
    <col min="523" max="531" width="11.42578125" style="53" customWidth="1"/>
    <col min="532" max="532" width="11.7109375" style="53" customWidth="1"/>
    <col min="533" max="533" width="11.42578125" style="53" customWidth="1"/>
    <col min="534" max="534" width="11.7109375" style="53" customWidth="1"/>
    <col min="535" max="535" width="11.42578125" style="53" customWidth="1"/>
    <col min="536" max="536" width="11.7109375" style="53" customWidth="1"/>
    <col min="537" max="537" width="11.42578125" style="53" customWidth="1"/>
    <col min="538" max="538" width="11.7109375" style="53" customWidth="1"/>
    <col min="539" max="539" width="11.42578125" style="53" customWidth="1"/>
    <col min="540" max="540" width="11.7109375" style="53" customWidth="1"/>
    <col min="541" max="541" width="11.42578125" style="53" customWidth="1"/>
    <col min="542" max="542" width="11.7109375" style="53" customWidth="1"/>
    <col min="543" max="543" width="11.42578125" style="53" customWidth="1"/>
    <col min="544" max="544" width="18.85546875" style="53" customWidth="1"/>
    <col min="545" max="550" width="11.42578125" style="53" customWidth="1"/>
    <col min="551" max="551" width="14" style="53" customWidth="1"/>
    <col min="552" max="552" width="12" style="53" customWidth="1"/>
    <col min="553" max="553" width="14" style="53" customWidth="1"/>
    <col min="554" max="554" width="11" style="53" customWidth="1"/>
    <col min="555" max="768" width="11.42578125" style="53"/>
    <col min="769" max="769" width="12.85546875" style="53" customWidth="1"/>
    <col min="770" max="770" width="9.42578125" style="53" customWidth="1"/>
    <col min="771" max="771" width="7.85546875" style="53" customWidth="1"/>
    <col min="772" max="772" width="12" style="53" customWidth="1"/>
    <col min="773" max="773" width="11.5703125" style="53" customWidth="1"/>
    <col min="774" max="774" width="27.5703125" style="53" customWidth="1"/>
    <col min="775" max="775" width="38.28515625" style="53" customWidth="1"/>
    <col min="776" max="776" width="11.7109375" style="53" customWidth="1"/>
    <col min="777" max="777" width="20.85546875" style="53" customWidth="1"/>
    <col min="778" max="778" width="18.42578125" style="53" customWidth="1"/>
    <col min="779" max="787" width="11.42578125" style="53" customWidth="1"/>
    <col min="788" max="788" width="11.7109375" style="53" customWidth="1"/>
    <col min="789" max="789" width="11.42578125" style="53" customWidth="1"/>
    <col min="790" max="790" width="11.7109375" style="53" customWidth="1"/>
    <col min="791" max="791" width="11.42578125" style="53" customWidth="1"/>
    <col min="792" max="792" width="11.7109375" style="53" customWidth="1"/>
    <col min="793" max="793" width="11.42578125" style="53" customWidth="1"/>
    <col min="794" max="794" width="11.7109375" style="53" customWidth="1"/>
    <col min="795" max="795" width="11.42578125" style="53" customWidth="1"/>
    <col min="796" max="796" width="11.7109375" style="53" customWidth="1"/>
    <col min="797" max="797" width="11.42578125" style="53" customWidth="1"/>
    <col min="798" max="798" width="11.7109375" style="53" customWidth="1"/>
    <col min="799" max="799" width="11.42578125" style="53" customWidth="1"/>
    <col min="800" max="800" width="18.85546875" style="53" customWidth="1"/>
    <col min="801" max="806" width="11.42578125" style="53" customWidth="1"/>
    <col min="807" max="807" width="14" style="53" customWidth="1"/>
    <col min="808" max="808" width="12" style="53" customWidth="1"/>
    <col min="809" max="809" width="14" style="53" customWidth="1"/>
    <col min="810" max="810" width="11" style="53" customWidth="1"/>
    <col min="811" max="1024" width="11.42578125" style="53"/>
    <col min="1025" max="1025" width="12.85546875" style="53" customWidth="1"/>
    <col min="1026" max="1026" width="9.42578125" style="53" customWidth="1"/>
    <col min="1027" max="1027" width="7.85546875" style="53" customWidth="1"/>
    <col min="1028" max="1028" width="12" style="53" customWidth="1"/>
    <col min="1029" max="1029" width="11.5703125" style="53" customWidth="1"/>
    <col min="1030" max="1030" width="27.5703125" style="53" customWidth="1"/>
    <col min="1031" max="1031" width="38.28515625" style="53" customWidth="1"/>
    <col min="1032" max="1032" width="11.7109375" style="53" customWidth="1"/>
    <col min="1033" max="1033" width="20.85546875" style="53" customWidth="1"/>
    <col min="1034" max="1034" width="18.42578125" style="53" customWidth="1"/>
    <col min="1035" max="1043" width="11.42578125" style="53" customWidth="1"/>
    <col min="1044" max="1044" width="11.7109375" style="53" customWidth="1"/>
    <col min="1045" max="1045" width="11.42578125" style="53" customWidth="1"/>
    <col min="1046" max="1046" width="11.7109375" style="53" customWidth="1"/>
    <col min="1047" max="1047" width="11.42578125" style="53" customWidth="1"/>
    <col min="1048" max="1048" width="11.7109375" style="53" customWidth="1"/>
    <col min="1049" max="1049" width="11.42578125" style="53" customWidth="1"/>
    <col min="1050" max="1050" width="11.7109375" style="53" customWidth="1"/>
    <col min="1051" max="1051" width="11.42578125" style="53" customWidth="1"/>
    <col min="1052" max="1052" width="11.7109375" style="53" customWidth="1"/>
    <col min="1053" max="1053" width="11.42578125" style="53" customWidth="1"/>
    <col min="1054" max="1054" width="11.7109375" style="53" customWidth="1"/>
    <col min="1055" max="1055" width="11.42578125" style="53" customWidth="1"/>
    <col min="1056" max="1056" width="18.85546875" style="53" customWidth="1"/>
    <col min="1057" max="1062" width="11.42578125" style="53" customWidth="1"/>
    <col min="1063" max="1063" width="14" style="53" customWidth="1"/>
    <col min="1064" max="1064" width="12" style="53" customWidth="1"/>
    <col min="1065" max="1065" width="14" style="53" customWidth="1"/>
    <col min="1066" max="1066" width="11" style="53" customWidth="1"/>
    <col min="1067" max="1280" width="11.42578125" style="53"/>
    <col min="1281" max="1281" width="12.85546875" style="53" customWidth="1"/>
    <col min="1282" max="1282" width="9.42578125" style="53" customWidth="1"/>
    <col min="1283" max="1283" width="7.85546875" style="53" customWidth="1"/>
    <col min="1284" max="1284" width="12" style="53" customWidth="1"/>
    <col min="1285" max="1285" width="11.5703125" style="53" customWidth="1"/>
    <col min="1286" max="1286" width="27.5703125" style="53" customWidth="1"/>
    <col min="1287" max="1287" width="38.28515625" style="53" customWidth="1"/>
    <col min="1288" max="1288" width="11.7109375" style="53" customWidth="1"/>
    <col min="1289" max="1289" width="20.85546875" style="53" customWidth="1"/>
    <col min="1290" max="1290" width="18.42578125" style="53" customWidth="1"/>
    <col min="1291" max="1299" width="11.42578125" style="53" customWidth="1"/>
    <col min="1300" max="1300" width="11.7109375" style="53" customWidth="1"/>
    <col min="1301" max="1301" width="11.42578125" style="53" customWidth="1"/>
    <col min="1302" max="1302" width="11.7109375" style="53" customWidth="1"/>
    <col min="1303" max="1303" width="11.42578125" style="53" customWidth="1"/>
    <col min="1304" max="1304" width="11.7109375" style="53" customWidth="1"/>
    <col min="1305" max="1305" width="11.42578125" style="53" customWidth="1"/>
    <col min="1306" max="1306" width="11.7109375" style="53" customWidth="1"/>
    <col min="1307" max="1307" width="11.42578125" style="53" customWidth="1"/>
    <col min="1308" max="1308" width="11.7109375" style="53" customWidth="1"/>
    <col min="1309" max="1309" width="11.42578125" style="53" customWidth="1"/>
    <col min="1310" max="1310" width="11.7109375" style="53" customWidth="1"/>
    <col min="1311" max="1311" width="11.42578125" style="53" customWidth="1"/>
    <col min="1312" max="1312" width="18.85546875" style="53" customWidth="1"/>
    <col min="1313" max="1318" width="11.42578125" style="53" customWidth="1"/>
    <col min="1319" max="1319" width="14" style="53" customWidth="1"/>
    <col min="1320" max="1320" width="12" style="53" customWidth="1"/>
    <col min="1321" max="1321" width="14" style="53" customWidth="1"/>
    <col min="1322" max="1322" width="11" style="53" customWidth="1"/>
    <col min="1323" max="1536" width="11.42578125" style="53"/>
    <col min="1537" max="1537" width="12.85546875" style="53" customWidth="1"/>
    <col min="1538" max="1538" width="9.42578125" style="53" customWidth="1"/>
    <col min="1539" max="1539" width="7.85546875" style="53" customWidth="1"/>
    <col min="1540" max="1540" width="12" style="53" customWidth="1"/>
    <col min="1541" max="1541" width="11.5703125" style="53" customWidth="1"/>
    <col min="1542" max="1542" width="27.5703125" style="53" customWidth="1"/>
    <col min="1543" max="1543" width="38.28515625" style="53" customWidth="1"/>
    <col min="1544" max="1544" width="11.7109375" style="53" customWidth="1"/>
    <col min="1545" max="1545" width="20.85546875" style="53" customWidth="1"/>
    <col min="1546" max="1546" width="18.42578125" style="53" customWidth="1"/>
    <col min="1547" max="1555" width="11.42578125" style="53" customWidth="1"/>
    <col min="1556" max="1556" width="11.7109375" style="53" customWidth="1"/>
    <col min="1557" max="1557" width="11.42578125" style="53" customWidth="1"/>
    <col min="1558" max="1558" width="11.7109375" style="53" customWidth="1"/>
    <col min="1559" max="1559" width="11.42578125" style="53" customWidth="1"/>
    <col min="1560" max="1560" width="11.7109375" style="53" customWidth="1"/>
    <col min="1561" max="1561" width="11.42578125" style="53" customWidth="1"/>
    <col min="1562" max="1562" width="11.7109375" style="53" customWidth="1"/>
    <col min="1563" max="1563" width="11.42578125" style="53" customWidth="1"/>
    <col min="1564" max="1564" width="11.7109375" style="53" customWidth="1"/>
    <col min="1565" max="1565" width="11.42578125" style="53" customWidth="1"/>
    <col min="1566" max="1566" width="11.7109375" style="53" customWidth="1"/>
    <col min="1567" max="1567" width="11.42578125" style="53" customWidth="1"/>
    <col min="1568" max="1568" width="18.85546875" style="53" customWidth="1"/>
    <col min="1569" max="1574" width="11.42578125" style="53" customWidth="1"/>
    <col min="1575" max="1575" width="14" style="53" customWidth="1"/>
    <col min="1576" max="1576" width="12" style="53" customWidth="1"/>
    <col min="1577" max="1577" width="14" style="53" customWidth="1"/>
    <col min="1578" max="1578" width="11" style="53" customWidth="1"/>
    <col min="1579" max="1792" width="11.42578125" style="53"/>
    <col min="1793" max="1793" width="12.85546875" style="53" customWidth="1"/>
    <col min="1794" max="1794" width="9.42578125" style="53" customWidth="1"/>
    <col min="1795" max="1795" width="7.85546875" style="53" customWidth="1"/>
    <col min="1796" max="1796" width="12" style="53" customWidth="1"/>
    <col min="1797" max="1797" width="11.5703125" style="53" customWidth="1"/>
    <col min="1798" max="1798" width="27.5703125" style="53" customWidth="1"/>
    <col min="1799" max="1799" width="38.28515625" style="53" customWidth="1"/>
    <col min="1800" max="1800" width="11.7109375" style="53" customWidth="1"/>
    <col min="1801" max="1801" width="20.85546875" style="53" customWidth="1"/>
    <col min="1802" max="1802" width="18.42578125" style="53" customWidth="1"/>
    <col min="1803" max="1811" width="11.42578125" style="53" customWidth="1"/>
    <col min="1812" max="1812" width="11.7109375" style="53" customWidth="1"/>
    <col min="1813" max="1813" width="11.42578125" style="53" customWidth="1"/>
    <col min="1814" max="1814" width="11.7109375" style="53" customWidth="1"/>
    <col min="1815" max="1815" width="11.42578125" style="53" customWidth="1"/>
    <col min="1816" max="1816" width="11.7109375" style="53" customWidth="1"/>
    <col min="1817" max="1817" width="11.42578125" style="53" customWidth="1"/>
    <col min="1818" max="1818" width="11.7109375" style="53" customWidth="1"/>
    <col min="1819" max="1819" width="11.42578125" style="53" customWidth="1"/>
    <col min="1820" max="1820" width="11.7109375" style="53" customWidth="1"/>
    <col min="1821" max="1821" width="11.42578125" style="53" customWidth="1"/>
    <col min="1822" max="1822" width="11.7109375" style="53" customWidth="1"/>
    <col min="1823" max="1823" width="11.42578125" style="53" customWidth="1"/>
    <col min="1824" max="1824" width="18.85546875" style="53" customWidth="1"/>
    <col min="1825" max="1830" width="11.42578125" style="53" customWidth="1"/>
    <col min="1831" max="1831" width="14" style="53" customWidth="1"/>
    <col min="1832" max="1832" width="12" style="53" customWidth="1"/>
    <col min="1833" max="1833" width="14" style="53" customWidth="1"/>
    <col min="1834" max="1834" width="11" style="53" customWidth="1"/>
    <col min="1835" max="2048" width="11.42578125" style="53"/>
    <col min="2049" max="2049" width="12.85546875" style="53" customWidth="1"/>
    <col min="2050" max="2050" width="9.42578125" style="53" customWidth="1"/>
    <col min="2051" max="2051" width="7.85546875" style="53" customWidth="1"/>
    <col min="2052" max="2052" width="12" style="53" customWidth="1"/>
    <col min="2053" max="2053" width="11.5703125" style="53" customWidth="1"/>
    <col min="2054" max="2054" width="27.5703125" style="53" customWidth="1"/>
    <col min="2055" max="2055" width="38.28515625" style="53" customWidth="1"/>
    <col min="2056" max="2056" width="11.7109375" style="53" customWidth="1"/>
    <col min="2057" max="2057" width="20.85546875" style="53" customWidth="1"/>
    <col min="2058" max="2058" width="18.42578125" style="53" customWidth="1"/>
    <col min="2059" max="2067" width="11.42578125" style="53" customWidth="1"/>
    <col min="2068" max="2068" width="11.7109375" style="53" customWidth="1"/>
    <col min="2069" max="2069" width="11.42578125" style="53" customWidth="1"/>
    <col min="2070" max="2070" width="11.7109375" style="53" customWidth="1"/>
    <col min="2071" max="2071" width="11.42578125" style="53" customWidth="1"/>
    <col min="2072" max="2072" width="11.7109375" style="53" customWidth="1"/>
    <col min="2073" max="2073" width="11.42578125" style="53" customWidth="1"/>
    <col min="2074" max="2074" width="11.7109375" style="53" customWidth="1"/>
    <col min="2075" max="2075" width="11.42578125" style="53" customWidth="1"/>
    <col min="2076" max="2076" width="11.7109375" style="53" customWidth="1"/>
    <col min="2077" max="2077" width="11.42578125" style="53" customWidth="1"/>
    <col min="2078" max="2078" width="11.7109375" style="53" customWidth="1"/>
    <col min="2079" max="2079" width="11.42578125" style="53" customWidth="1"/>
    <col min="2080" max="2080" width="18.85546875" style="53" customWidth="1"/>
    <col min="2081" max="2086" width="11.42578125" style="53" customWidth="1"/>
    <col min="2087" max="2087" width="14" style="53" customWidth="1"/>
    <col min="2088" max="2088" width="12" style="53" customWidth="1"/>
    <col min="2089" max="2089" width="14" style="53" customWidth="1"/>
    <col min="2090" max="2090" width="11" style="53" customWidth="1"/>
    <col min="2091" max="2304" width="11.42578125" style="53"/>
    <col min="2305" max="2305" width="12.85546875" style="53" customWidth="1"/>
    <col min="2306" max="2306" width="9.42578125" style="53" customWidth="1"/>
    <col min="2307" max="2307" width="7.85546875" style="53" customWidth="1"/>
    <col min="2308" max="2308" width="12" style="53" customWidth="1"/>
    <col min="2309" max="2309" width="11.5703125" style="53" customWidth="1"/>
    <col min="2310" max="2310" width="27.5703125" style="53" customWidth="1"/>
    <col min="2311" max="2311" width="38.28515625" style="53" customWidth="1"/>
    <col min="2312" max="2312" width="11.7109375" style="53" customWidth="1"/>
    <col min="2313" max="2313" width="20.85546875" style="53" customWidth="1"/>
    <col min="2314" max="2314" width="18.42578125" style="53" customWidth="1"/>
    <col min="2315" max="2323" width="11.42578125" style="53" customWidth="1"/>
    <col min="2324" max="2324" width="11.7109375" style="53" customWidth="1"/>
    <col min="2325" max="2325" width="11.42578125" style="53" customWidth="1"/>
    <col min="2326" max="2326" width="11.7109375" style="53" customWidth="1"/>
    <col min="2327" max="2327" width="11.42578125" style="53" customWidth="1"/>
    <col min="2328" max="2328" width="11.7109375" style="53" customWidth="1"/>
    <col min="2329" max="2329" width="11.42578125" style="53" customWidth="1"/>
    <col min="2330" max="2330" width="11.7109375" style="53" customWidth="1"/>
    <col min="2331" max="2331" width="11.42578125" style="53" customWidth="1"/>
    <col min="2332" max="2332" width="11.7109375" style="53" customWidth="1"/>
    <col min="2333" max="2333" width="11.42578125" style="53" customWidth="1"/>
    <col min="2334" max="2334" width="11.7109375" style="53" customWidth="1"/>
    <col min="2335" max="2335" width="11.42578125" style="53" customWidth="1"/>
    <col min="2336" max="2336" width="18.85546875" style="53" customWidth="1"/>
    <col min="2337" max="2342" width="11.42578125" style="53" customWidth="1"/>
    <col min="2343" max="2343" width="14" style="53" customWidth="1"/>
    <col min="2344" max="2344" width="12" style="53" customWidth="1"/>
    <col min="2345" max="2345" width="14" style="53" customWidth="1"/>
    <col min="2346" max="2346" width="11" style="53" customWidth="1"/>
    <col min="2347" max="2560" width="11.42578125" style="53"/>
    <col min="2561" max="2561" width="12.85546875" style="53" customWidth="1"/>
    <col min="2562" max="2562" width="9.42578125" style="53" customWidth="1"/>
    <col min="2563" max="2563" width="7.85546875" style="53" customWidth="1"/>
    <col min="2564" max="2564" width="12" style="53" customWidth="1"/>
    <col min="2565" max="2565" width="11.5703125" style="53" customWidth="1"/>
    <col min="2566" max="2566" width="27.5703125" style="53" customWidth="1"/>
    <col min="2567" max="2567" width="38.28515625" style="53" customWidth="1"/>
    <col min="2568" max="2568" width="11.7109375" style="53" customWidth="1"/>
    <col min="2569" max="2569" width="20.85546875" style="53" customWidth="1"/>
    <col min="2570" max="2570" width="18.42578125" style="53" customWidth="1"/>
    <col min="2571" max="2579" width="11.42578125" style="53" customWidth="1"/>
    <col min="2580" max="2580" width="11.7109375" style="53" customWidth="1"/>
    <col min="2581" max="2581" width="11.42578125" style="53" customWidth="1"/>
    <col min="2582" max="2582" width="11.7109375" style="53" customWidth="1"/>
    <col min="2583" max="2583" width="11.42578125" style="53" customWidth="1"/>
    <col min="2584" max="2584" width="11.7109375" style="53" customWidth="1"/>
    <col min="2585" max="2585" width="11.42578125" style="53" customWidth="1"/>
    <col min="2586" max="2586" width="11.7109375" style="53" customWidth="1"/>
    <col min="2587" max="2587" width="11.42578125" style="53" customWidth="1"/>
    <col min="2588" max="2588" width="11.7109375" style="53" customWidth="1"/>
    <col min="2589" max="2589" width="11.42578125" style="53" customWidth="1"/>
    <col min="2590" max="2590" width="11.7109375" style="53" customWidth="1"/>
    <col min="2591" max="2591" width="11.42578125" style="53" customWidth="1"/>
    <col min="2592" max="2592" width="18.85546875" style="53" customWidth="1"/>
    <col min="2593" max="2598" width="11.42578125" style="53" customWidth="1"/>
    <col min="2599" max="2599" width="14" style="53" customWidth="1"/>
    <col min="2600" max="2600" width="12" style="53" customWidth="1"/>
    <col min="2601" max="2601" width="14" style="53" customWidth="1"/>
    <col min="2602" max="2602" width="11" style="53" customWidth="1"/>
    <col min="2603" max="2816" width="11.42578125" style="53"/>
    <col min="2817" max="2817" width="12.85546875" style="53" customWidth="1"/>
    <col min="2818" max="2818" width="9.42578125" style="53" customWidth="1"/>
    <col min="2819" max="2819" width="7.85546875" style="53" customWidth="1"/>
    <col min="2820" max="2820" width="12" style="53" customWidth="1"/>
    <col min="2821" max="2821" width="11.5703125" style="53" customWidth="1"/>
    <col min="2822" max="2822" width="27.5703125" style="53" customWidth="1"/>
    <col min="2823" max="2823" width="38.28515625" style="53" customWidth="1"/>
    <col min="2824" max="2824" width="11.7109375" style="53" customWidth="1"/>
    <col min="2825" max="2825" width="20.85546875" style="53" customWidth="1"/>
    <col min="2826" max="2826" width="18.42578125" style="53" customWidth="1"/>
    <col min="2827" max="2835" width="11.42578125" style="53" customWidth="1"/>
    <col min="2836" max="2836" width="11.7109375" style="53" customWidth="1"/>
    <col min="2837" max="2837" width="11.42578125" style="53" customWidth="1"/>
    <col min="2838" max="2838" width="11.7109375" style="53" customWidth="1"/>
    <col min="2839" max="2839" width="11.42578125" style="53" customWidth="1"/>
    <col min="2840" max="2840" width="11.7109375" style="53" customWidth="1"/>
    <col min="2841" max="2841" width="11.42578125" style="53" customWidth="1"/>
    <col min="2842" max="2842" width="11.7109375" style="53" customWidth="1"/>
    <col min="2843" max="2843" width="11.42578125" style="53" customWidth="1"/>
    <col min="2844" max="2844" width="11.7109375" style="53" customWidth="1"/>
    <col min="2845" max="2845" width="11.42578125" style="53" customWidth="1"/>
    <col min="2846" max="2846" width="11.7109375" style="53" customWidth="1"/>
    <col min="2847" max="2847" width="11.42578125" style="53" customWidth="1"/>
    <col min="2848" max="2848" width="18.85546875" style="53" customWidth="1"/>
    <col min="2849" max="2854" width="11.42578125" style="53" customWidth="1"/>
    <col min="2855" max="2855" width="14" style="53" customWidth="1"/>
    <col min="2856" max="2856" width="12" style="53" customWidth="1"/>
    <col min="2857" max="2857" width="14" style="53" customWidth="1"/>
    <col min="2858" max="2858" width="11" style="53" customWidth="1"/>
    <col min="2859" max="3072" width="11.42578125" style="53"/>
    <col min="3073" max="3073" width="12.85546875" style="53" customWidth="1"/>
    <col min="3074" max="3074" width="9.42578125" style="53" customWidth="1"/>
    <col min="3075" max="3075" width="7.85546875" style="53" customWidth="1"/>
    <col min="3076" max="3076" width="12" style="53" customWidth="1"/>
    <col min="3077" max="3077" width="11.5703125" style="53" customWidth="1"/>
    <col min="3078" max="3078" width="27.5703125" style="53" customWidth="1"/>
    <col min="3079" max="3079" width="38.28515625" style="53" customWidth="1"/>
    <col min="3080" max="3080" width="11.7109375" style="53" customWidth="1"/>
    <col min="3081" max="3081" width="20.85546875" style="53" customWidth="1"/>
    <col min="3082" max="3082" width="18.42578125" style="53" customWidth="1"/>
    <col min="3083" max="3091" width="11.42578125" style="53" customWidth="1"/>
    <col min="3092" max="3092" width="11.7109375" style="53" customWidth="1"/>
    <col min="3093" max="3093" width="11.42578125" style="53" customWidth="1"/>
    <col min="3094" max="3094" width="11.7109375" style="53" customWidth="1"/>
    <col min="3095" max="3095" width="11.42578125" style="53" customWidth="1"/>
    <col min="3096" max="3096" width="11.7109375" style="53" customWidth="1"/>
    <col min="3097" max="3097" width="11.42578125" style="53" customWidth="1"/>
    <col min="3098" max="3098" width="11.7109375" style="53" customWidth="1"/>
    <col min="3099" max="3099" width="11.42578125" style="53" customWidth="1"/>
    <col min="3100" max="3100" width="11.7109375" style="53" customWidth="1"/>
    <col min="3101" max="3101" width="11.42578125" style="53" customWidth="1"/>
    <col min="3102" max="3102" width="11.7109375" style="53" customWidth="1"/>
    <col min="3103" max="3103" width="11.42578125" style="53" customWidth="1"/>
    <col min="3104" max="3104" width="18.85546875" style="53" customWidth="1"/>
    <col min="3105" max="3110" width="11.42578125" style="53" customWidth="1"/>
    <col min="3111" max="3111" width="14" style="53" customWidth="1"/>
    <col min="3112" max="3112" width="12" style="53" customWidth="1"/>
    <col min="3113" max="3113" width="14" style="53" customWidth="1"/>
    <col min="3114" max="3114" width="11" style="53" customWidth="1"/>
    <col min="3115" max="3328" width="11.42578125" style="53"/>
    <col min="3329" max="3329" width="12.85546875" style="53" customWidth="1"/>
    <col min="3330" max="3330" width="9.42578125" style="53" customWidth="1"/>
    <col min="3331" max="3331" width="7.85546875" style="53" customWidth="1"/>
    <col min="3332" max="3332" width="12" style="53" customWidth="1"/>
    <col min="3333" max="3333" width="11.5703125" style="53" customWidth="1"/>
    <col min="3334" max="3334" width="27.5703125" style="53" customWidth="1"/>
    <col min="3335" max="3335" width="38.28515625" style="53" customWidth="1"/>
    <col min="3336" max="3336" width="11.7109375" style="53" customWidth="1"/>
    <col min="3337" max="3337" width="20.85546875" style="53" customWidth="1"/>
    <col min="3338" max="3338" width="18.42578125" style="53" customWidth="1"/>
    <col min="3339" max="3347" width="11.42578125" style="53" customWidth="1"/>
    <col min="3348" max="3348" width="11.7109375" style="53" customWidth="1"/>
    <col min="3349" max="3349" width="11.42578125" style="53" customWidth="1"/>
    <col min="3350" max="3350" width="11.7109375" style="53" customWidth="1"/>
    <col min="3351" max="3351" width="11.42578125" style="53" customWidth="1"/>
    <col min="3352" max="3352" width="11.7109375" style="53" customWidth="1"/>
    <col min="3353" max="3353" width="11.42578125" style="53" customWidth="1"/>
    <col min="3354" max="3354" width="11.7109375" style="53" customWidth="1"/>
    <col min="3355" max="3355" width="11.42578125" style="53" customWidth="1"/>
    <col min="3356" max="3356" width="11.7109375" style="53" customWidth="1"/>
    <col min="3357" max="3357" width="11.42578125" style="53" customWidth="1"/>
    <col min="3358" max="3358" width="11.7109375" style="53" customWidth="1"/>
    <col min="3359" max="3359" width="11.42578125" style="53" customWidth="1"/>
    <col min="3360" max="3360" width="18.85546875" style="53" customWidth="1"/>
    <col min="3361" max="3366" width="11.42578125" style="53" customWidth="1"/>
    <col min="3367" max="3367" width="14" style="53" customWidth="1"/>
    <col min="3368" max="3368" width="12" style="53" customWidth="1"/>
    <col min="3369" max="3369" width="14" style="53" customWidth="1"/>
    <col min="3370" max="3370" width="11" style="53" customWidth="1"/>
    <col min="3371" max="3584" width="11.42578125" style="53"/>
    <col min="3585" max="3585" width="12.85546875" style="53" customWidth="1"/>
    <col min="3586" max="3586" width="9.42578125" style="53" customWidth="1"/>
    <col min="3587" max="3587" width="7.85546875" style="53" customWidth="1"/>
    <col min="3588" max="3588" width="12" style="53" customWidth="1"/>
    <col min="3589" max="3589" width="11.5703125" style="53" customWidth="1"/>
    <col min="3590" max="3590" width="27.5703125" style="53" customWidth="1"/>
    <col min="3591" max="3591" width="38.28515625" style="53" customWidth="1"/>
    <col min="3592" max="3592" width="11.7109375" style="53" customWidth="1"/>
    <col min="3593" max="3593" width="20.85546875" style="53" customWidth="1"/>
    <col min="3594" max="3594" width="18.42578125" style="53" customWidth="1"/>
    <col min="3595" max="3603" width="11.42578125" style="53" customWidth="1"/>
    <col min="3604" max="3604" width="11.7109375" style="53" customWidth="1"/>
    <col min="3605" max="3605" width="11.42578125" style="53" customWidth="1"/>
    <col min="3606" max="3606" width="11.7109375" style="53" customWidth="1"/>
    <col min="3607" max="3607" width="11.42578125" style="53" customWidth="1"/>
    <col min="3608" max="3608" width="11.7109375" style="53" customWidth="1"/>
    <col min="3609" max="3609" width="11.42578125" style="53" customWidth="1"/>
    <col min="3610" max="3610" width="11.7109375" style="53" customWidth="1"/>
    <col min="3611" max="3611" width="11.42578125" style="53" customWidth="1"/>
    <col min="3612" max="3612" width="11.7109375" style="53" customWidth="1"/>
    <col min="3613" max="3613" width="11.42578125" style="53" customWidth="1"/>
    <col min="3614" max="3614" width="11.7109375" style="53" customWidth="1"/>
    <col min="3615" max="3615" width="11.42578125" style="53" customWidth="1"/>
    <col min="3616" max="3616" width="18.85546875" style="53" customWidth="1"/>
    <col min="3617" max="3622" width="11.42578125" style="53" customWidth="1"/>
    <col min="3623" max="3623" width="14" style="53" customWidth="1"/>
    <col min="3624" max="3624" width="12" style="53" customWidth="1"/>
    <col min="3625" max="3625" width="14" style="53" customWidth="1"/>
    <col min="3626" max="3626" width="11" style="53" customWidth="1"/>
    <col min="3627" max="3840" width="11.42578125" style="53"/>
    <col min="3841" max="3841" width="12.85546875" style="53" customWidth="1"/>
    <col min="3842" max="3842" width="9.42578125" style="53" customWidth="1"/>
    <col min="3843" max="3843" width="7.85546875" style="53" customWidth="1"/>
    <col min="3844" max="3844" width="12" style="53" customWidth="1"/>
    <col min="3845" max="3845" width="11.5703125" style="53" customWidth="1"/>
    <col min="3846" max="3846" width="27.5703125" style="53" customWidth="1"/>
    <col min="3847" max="3847" width="38.28515625" style="53" customWidth="1"/>
    <col min="3848" max="3848" width="11.7109375" style="53" customWidth="1"/>
    <col min="3849" max="3849" width="20.85546875" style="53" customWidth="1"/>
    <col min="3850" max="3850" width="18.42578125" style="53" customWidth="1"/>
    <col min="3851" max="3859" width="11.42578125" style="53" customWidth="1"/>
    <col min="3860" max="3860" width="11.7109375" style="53" customWidth="1"/>
    <col min="3861" max="3861" width="11.42578125" style="53" customWidth="1"/>
    <col min="3862" max="3862" width="11.7109375" style="53" customWidth="1"/>
    <col min="3863" max="3863" width="11.42578125" style="53" customWidth="1"/>
    <col min="3864" max="3864" width="11.7109375" style="53" customWidth="1"/>
    <col min="3865" max="3865" width="11.42578125" style="53" customWidth="1"/>
    <col min="3866" max="3866" width="11.7109375" style="53" customWidth="1"/>
    <col min="3867" max="3867" width="11.42578125" style="53" customWidth="1"/>
    <col min="3868" max="3868" width="11.7109375" style="53" customWidth="1"/>
    <col min="3869" max="3869" width="11.42578125" style="53" customWidth="1"/>
    <col min="3870" max="3870" width="11.7109375" style="53" customWidth="1"/>
    <col min="3871" max="3871" width="11.42578125" style="53" customWidth="1"/>
    <col min="3872" max="3872" width="18.85546875" style="53" customWidth="1"/>
    <col min="3873" max="3878" width="11.42578125" style="53" customWidth="1"/>
    <col min="3879" max="3879" width="14" style="53" customWidth="1"/>
    <col min="3880" max="3880" width="12" style="53" customWidth="1"/>
    <col min="3881" max="3881" width="14" style="53" customWidth="1"/>
    <col min="3882" max="3882" width="11" style="53" customWidth="1"/>
    <col min="3883" max="4096" width="11.42578125" style="53"/>
    <col min="4097" max="4097" width="12.85546875" style="53" customWidth="1"/>
    <col min="4098" max="4098" width="9.42578125" style="53" customWidth="1"/>
    <col min="4099" max="4099" width="7.85546875" style="53" customWidth="1"/>
    <col min="4100" max="4100" width="12" style="53" customWidth="1"/>
    <col min="4101" max="4101" width="11.5703125" style="53" customWidth="1"/>
    <col min="4102" max="4102" width="27.5703125" style="53" customWidth="1"/>
    <col min="4103" max="4103" width="38.28515625" style="53" customWidth="1"/>
    <col min="4104" max="4104" width="11.7109375" style="53" customWidth="1"/>
    <col min="4105" max="4105" width="20.85546875" style="53" customWidth="1"/>
    <col min="4106" max="4106" width="18.42578125" style="53" customWidth="1"/>
    <col min="4107" max="4115" width="11.42578125" style="53" customWidth="1"/>
    <col min="4116" max="4116" width="11.7109375" style="53" customWidth="1"/>
    <col min="4117" max="4117" width="11.42578125" style="53" customWidth="1"/>
    <col min="4118" max="4118" width="11.7109375" style="53" customWidth="1"/>
    <col min="4119" max="4119" width="11.42578125" style="53" customWidth="1"/>
    <col min="4120" max="4120" width="11.7109375" style="53" customWidth="1"/>
    <col min="4121" max="4121" width="11.42578125" style="53" customWidth="1"/>
    <col min="4122" max="4122" width="11.7109375" style="53" customWidth="1"/>
    <col min="4123" max="4123" width="11.42578125" style="53" customWidth="1"/>
    <col min="4124" max="4124" width="11.7109375" style="53" customWidth="1"/>
    <col min="4125" max="4125" width="11.42578125" style="53" customWidth="1"/>
    <col min="4126" max="4126" width="11.7109375" style="53" customWidth="1"/>
    <col min="4127" max="4127" width="11.42578125" style="53" customWidth="1"/>
    <col min="4128" max="4128" width="18.85546875" style="53" customWidth="1"/>
    <col min="4129" max="4134" width="11.42578125" style="53" customWidth="1"/>
    <col min="4135" max="4135" width="14" style="53" customWidth="1"/>
    <col min="4136" max="4136" width="12" style="53" customWidth="1"/>
    <col min="4137" max="4137" width="14" style="53" customWidth="1"/>
    <col min="4138" max="4138" width="11" style="53" customWidth="1"/>
    <col min="4139" max="4352" width="11.42578125" style="53"/>
    <col min="4353" max="4353" width="12.85546875" style="53" customWidth="1"/>
    <col min="4354" max="4354" width="9.42578125" style="53" customWidth="1"/>
    <col min="4355" max="4355" width="7.85546875" style="53" customWidth="1"/>
    <col min="4356" max="4356" width="12" style="53" customWidth="1"/>
    <col min="4357" max="4357" width="11.5703125" style="53" customWidth="1"/>
    <col min="4358" max="4358" width="27.5703125" style="53" customWidth="1"/>
    <col min="4359" max="4359" width="38.28515625" style="53" customWidth="1"/>
    <col min="4360" max="4360" width="11.7109375" style="53" customWidth="1"/>
    <col min="4361" max="4361" width="20.85546875" style="53" customWidth="1"/>
    <col min="4362" max="4362" width="18.42578125" style="53" customWidth="1"/>
    <col min="4363" max="4371" width="11.42578125" style="53" customWidth="1"/>
    <col min="4372" max="4372" width="11.7109375" style="53" customWidth="1"/>
    <col min="4373" max="4373" width="11.42578125" style="53" customWidth="1"/>
    <col min="4374" max="4374" width="11.7109375" style="53" customWidth="1"/>
    <col min="4375" max="4375" width="11.42578125" style="53" customWidth="1"/>
    <col min="4376" max="4376" width="11.7109375" style="53" customWidth="1"/>
    <col min="4377" max="4377" width="11.42578125" style="53" customWidth="1"/>
    <col min="4378" max="4378" width="11.7109375" style="53" customWidth="1"/>
    <col min="4379" max="4379" width="11.42578125" style="53" customWidth="1"/>
    <col min="4380" max="4380" width="11.7109375" style="53" customWidth="1"/>
    <col min="4381" max="4381" width="11.42578125" style="53" customWidth="1"/>
    <col min="4382" max="4382" width="11.7109375" style="53" customWidth="1"/>
    <col min="4383" max="4383" width="11.42578125" style="53" customWidth="1"/>
    <col min="4384" max="4384" width="18.85546875" style="53" customWidth="1"/>
    <col min="4385" max="4390" width="11.42578125" style="53" customWidth="1"/>
    <col min="4391" max="4391" width="14" style="53" customWidth="1"/>
    <col min="4392" max="4392" width="12" style="53" customWidth="1"/>
    <col min="4393" max="4393" width="14" style="53" customWidth="1"/>
    <col min="4394" max="4394" width="11" style="53" customWidth="1"/>
    <col min="4395" max="4608" width="11.42578125" style="53"/>
    <col min="4609" max="4609" width="12.85546875" style="53" customWidth="1"/>
    <col min="4610" max="4610" width="9.42578125" style="53" customWidth="1"/>
    <col min="4611" max="4611" width="7.85546875" style="53" customWidth="1"/>
    <col min="4612" max="4612" width="12" style="53" customWidth="1"/>
    <col min="4613" max="4613" width="11.5703125" style="53" customWidth="1"/>
    <col min="4614" max="4614" width="27.5703125" style="53" customWidth="1"/>
    <col min="4615" max="4615" width="38.28515625" style="53" customWidth="1"/>
    <col min="4616" max="4616" width="11.7109375" style="53" customWidth="1"/>
    <col min="4617" max="4617" width="20.85546875" style="53" customWidth="1"/>
    <col min="4618" max="4618" width="18.42578125" style="53" customWidth="1"/>
    <col min="4619" max="4627" width="11.42578125" style="53" customWidth="1"/>
    <col min="4628" max="4628" width="11.7109375" style="53" customWidth="1"/>
    <col min="4629" max="4629" width="11.42578125" style="53" customWidth="1"/>
    <col min="4630" max="4630" width="11.7109375" style="53" customWidth="1"/>
    <col min="4631" max="4631" width="11.42578125" style="53" customWidth="1"/>
    <col min="4632" max="4632" width="11.7109375" style="53" customWidth="1"/>
    <col min="4633" max="4633" width="11.42578125" style="53" customWidth="1"/>
    <col min="4634" max="4634" width="11.7109375" style="53" customWidth="1"/>
    <col min="4635" max="4635" width="11.42578125" style="53" customWidth="1"/>
    <col min="4636" max="4636" width="11.7109375" style="53" customWidth="1"/>
    <col min="4637" max="4637" width="11.42578125" style="53" customWidth="1"/>
    <col min="4638" max="4638" width="11.7109375" style="53" customWidth="1"/>
    <col min="4639" max="4639" width="11.42578125" style="53" customWidth="1"/>
    <col min="4640" max="4640" width="18.85546875" style="53" customWidth="1"/>
    <col min="4641" max="4646" width="11.42578125" style="53" customWidth="1"/>
    <col min="4647" max="4647" width="14" style="53" customWidth="1"/>
    <col min="4648" max="4648" width="12" style="53" customWidth="1"/>
    <col min="4649" max="4649" width="14" style="53" customWidth="1"/>
    <col min="4650" max="4650" width="11" style="53" customWidth="1"/>
    <col min="4651" max="4864" width="11.42578125" style="53"/>
    <col min="4865" max="4865" width="12.85546875" style="53" customWidth="1"/>
    <col min="4866" max="4866" width="9.42578125" style="53" customWidth="1"/>
    <col min="4867" max="4867" width="7.85546875" style="53" customWidth="1"/>
    <col min="4868" max="4868" width="12" style="53" customWidth="1"/>
    <col min="4869" max="4869" width="11.5703125" style="53" customWidth="1"/>
    <col min="4870" max="4870" width="27.5703125" style="53" customWidth="1"/>
    <col min="4871" max="4871" width="38.28515625" style="53" customWidth="1"/>
    <col min="4872" max="4872" width="11.7109375" style="53" customWidth="1"/>
    <col min="4873" max="4873" width="20.85546875" style="53" customWidth="1"/>
    <col min="4874" max="4874" width="18.42578125" style="53" customWidth="1"/>
    <col min="4875" max="4883" width="11.42578125" style="53" customWidth="1"/>
    <col min="4884" max="4884" width="11.7109375" style="53" customWidth="1"/>
    <col min="4885" max="4885" width="11.42578125" style="53" customWidth="1"/>
    <col min="4886" max="4886" width="11.7109375" style="53" customWidth="1"/>
    <col min="4887" max="4887" width="11.42578125" style="53" customWidth="1"/>
    <col min="4888" max="4888" width="11.7109375" style="53" customWidth="1"/>
    <col min="4889" max="4889" width="11.42578125" style="53" customWidth="1"/>
    <col min="4890" max="4890" width="11.7109375" style="53" customWidth="1"/>
    <col min="4891" max="4891" width="11.42578125" style="53" customWidth="1"/>
    <col min="4892" max="4892" width="11.7109375" style="53" customWidth="1"/>
    <col min="4893" max="4893" width="11.42578125" style="53" customWidth="1"/>
    <col min="4894" max="4894" width="11.7109375" style="53" customWidth="1"/>
    <col min="4895" max="4895" width="11.42578125" style="53" customWidth="1"/>
    <col min="4896" max="4896" width="18.85546875" style="53" customWidth="1"/>
    <col min="4897" max="4902" width="11.42578125" style="53" customWidth="1"/>
    <col min="4903" max="4903" width="14" style="53" customWidth="1"/>
    <col min="4904" max="4904" width="12" style="53" customWidth="1"/>
    <col min="4905" max="4905" width="14" style="53" customWidth="1"/>
    <col min="4906" max="4906" width="11" style="53" customWidth="1"/>
    <col min="4907" max="5120" width="11.42578125" style="53"/>
    <col min="5121" max="5121" width="12.85546875" style="53" customWidth="1"/>
    <col min="5122" max="5122" width="9.42578125" style="53" customWidth="1"/>
    <col min="5123" max="5123" width="7.85546875" style="53" customWidth="1"/>
    <col min="5124" max="5124" width="12" style="53" customWidth="1"/>
    <col min="5125" max="5125" width="11.5703125" style="53" customWidth="1"/>
    <col min="5126" max="5126" width="27.5703125" style="53" customWidth="1"/>
    <col min="5127" max="5127" width="38.28515625" style="53" customWidth="1"/>
    <col min="5128" max="5128" width="11.7109375" style="53" customWidth="1"/>
    <col min="5129" max="5129" width="20.85546875" style="53" customWidth="1"/>
    <col min="5130" max="5130" width="18.42578125" style="53" customWidth="1"/>
    <col min="5131" max="5139" width="11.42578125" style="53" customWidth="1"/>
    <col min="5140" max="5140" width="11.7109375" style="53" customWidth="1"/>
    <col min="5141" max="5141" width="11.42578125" style="53" customWidth="1"/>
    <col min="5142" max="5142" width="11.7109375" style="53" customWidth="1"/>
    <col min="5143" max="5143" width="11.42578125" style="53" customWidth="1"/>
    <col min="5144" max="5144" width="11.7109375" style="53" customWidth="1"/>
    <col min="5145" max="5145" width="11.42578125" style="53" customWidth="1"/>
    <col min="5146" max="5146" width="11.7109375" style="53" customWidth="1"/>
    <col min="5147" max="5147" width="11.42578125" style="53" customWidth="1"/>
    <col min="5148" max="5148" width="11.7109375" style="53" customWidth="1"/>
    <col min="5149" max="5149" width="11.42578125" style="53" customWidth="1"/>
    <col min="5150" max="5150" width="11.7109375" style="53" customWidth="1"/>
    <col min="5151" max="5151" width="11.42578125" style="53" customWidth="1"/>
    <col min="5152" max="5152" width="18.85546875" style="53" customWidth="1"/>
    <col min="5153" max="5158" width="11.42578125" style="53" customWidth="1"/>
    <col min="5159" max="5159" width="14" style="53" customWidth="1"/>
    <col min="5160" max="5160" width="12" style="53" customWidth="1"/>
    <col min="5161" max="5161" width="14" style="53" customWidth="1"/>
    <col min="5162" max="5162" width="11" style="53" customWidth="1"/>
    <col min="5163" max="5376" width="11.42578125" style="53"/>
    <col min="5377" max="5377" width="12.85546875" style="53" customWidth="1"/>
    <col min="5378" max="5378" width="9.42578125" style="53" customWidth="1"/>
    <col min="5379" max="5379" width="7.85546875" style="53" customWidth="1"/>
    <col min="5380" max="5380" width="12" style="53" customWidth="1"/>
    <col min="5381" max="5381" width="11.5703125" style="53" customWidth="1"/>
    <col min="5382" max="5382" width="27.5703125" style="53" customWidth="1"/>
    <col min="5383" max="5383" width="38.28515625" style="53" customWidth="1"/>
    <col min="5384" max="5384" width="11.7109375" style="53" customWidth="1"/>
    <col min="5385" max="5385" width="20.85546875" style="53" customWidth="1"/>
    <col min="5386" max="5386" width="18.42578125" style="53" customWidth="1"/>
    <col min="5387" max="5395" width="11.42578125" style="53" customWidth="1"/>
    <col min="5396" max="5396" width="11.7109375" style="53" customWidth="1"/>
    <col min="5397" max="5397" width="11.42578125" style="53" customWidth="1"/>
    <col min="5398" max="5398" width="11.7109375" style="53" customWidth="1"/>
    <col min="5399" max="5399" width="11.42578125" style="53" customWidth="1"/>
    <col min="5400" max="5400" width="11.7109375" style="53" customWidth="1"/>
    <col min="5401" max="5401" width="11.42578125" style="53" customWidth="1"/>
    <col min="5402" max="5402" width="11.7109375" style="53" customWidth="1"/>
    <col min="5403" max="5403" width="11.42578125" style="53" customWidth="1"/>
    <col min="5404" max="5404" width="11.7109375" style="53" customWidth="1"/>
    <col min="5405" max="5405" width="11.42578125" style="53" customWidth="1"/>
    <col min="5406" max="5406" width="11.7109375" style="53" customWidth="1"/>
    <col min="5407" max="5407" width="11.42578125" style="53" customWidth="1"/>
    <col min="5408" max="5408" width="18.85546875" style="53" customWidth="1"/>
    <col min="5409" max="5414" width="11.42578125" style="53" customWidth="1"/>
    <col min="5415" max="5415" width="14" style="53" customWidth="1"/>
    <col min="5416" max="5416" width="12" style="53" customWidth="1"/>
    <col min="5417" max="5417" width="14" style="53" customWidth="1"/>
    <col min="5418" max="5418" width="11" style="53" customWidth="1"/>
    <col min="5419" max="5632" width="11.42578125" style="53"/>
    <col min="5633" max="5633" width="12.85546875" style="53" customWidth="1"/>
    <col min="5634" max="5634" width="9.42578125" style="53" customWidth="1"/>
    <col min="5635" max="5635" width="7.85546875" style="53" customWidth="1"/>
    <col min="5636" max="5636" width="12" style="53" customWidth="1"/>
    <col min="5637" max="5637" width="11.5703125" style="53" customWidth="1"/>
    <col min="5638" max="5638" width="27.5703125" style="53" customWidth="1"/>
    <col min="5639" max="5639" width="38.28515625" style="53" customWidth="1"/>
    <col min="5640" max="5640" width="11.7109375" style="53" customWidth="1"/>
    <col min="5641" max="5641" width="20.85546875" style="53" customWidth="1"/>
    <col min="5642" max="5642" width="18.42578125" style="53" customWidth="1"/>
    <col min="5643" max="5651" width="11.42578125" style="53" customWidth="1"/>
    <col min="5652" max="5652" width="11.7109375" style="53" customWidth="1"/>
    <col min="5653" max="5653" width="11.42578125" style="53" customWidth="1"/>
    <col min="5654" max="5654" width="11.7109375" style="53" customWidth="1"/>
    <col min="5655" max="5655" width="11.42578125" style="53" customWidth="1"/>
    <col min="5656" max="5656" width="11.7109375" style="53" customWidth="1"/>
    <col min="5657" max="5657" width="11.42578125" style="53" customWidth="1"/>
    <col min="5658" max="5658" width="11.7109375" style="53" customWidth="1"/>
    <col min="5659" max="5659" width="11.42578125" style="53" customWidth="1"/>
    <col min="5660" max="5660" width="11.7109375" style="53" customWidth="1"/>
    <col min="5661" max="5661" width="11.42578125" style="53" customWidth="1"/>
    <col min="5662" max="5662" width="11.7109375" style="53" customWidth="1"/>
    <col min="5663" max="5663" width="11.42578125" style="53" customWidth="1"/>
    <col min="5664" max="5664" width="18.85546875" style="53" customWidth="1"/>
    <col min="5665" max="5670" width="11.42578125" style="53" customWidth="1"/>
    <col min="5671" max="5671" width="14" style="53" customWidth="1"/>
    <col min="5672" max="5672" width="12" style="53" customWidth="1"/>
    <col min="5673" max="5673" width="14" style="53" customWidth="1"/>
    <col min="5674" max="5674" width="11" style="53" customWidth="1"/>
    <col min="5675" max="5888" width="11.42578125" style="53"/>
    <col min="5889" max="5889" width="12.85546875" style="53" customWidth="1"/>
    <col min="5890" max="5890" width="9.42578125" style="53" customWidth="1"/>
    <col min="5891" max="5891" width="7.85546875" style="53" customWidth="1"/>
    <col min="5892" max="5892" width="12" style="53" customWidth="1"/>
    <col min="5893" max="5893" width="11.5703125" style="53" customWidth="1"/>
    <col min="5894" max="5894" width="27.5703125" style="53" customWidth="1"/>
    <col min="5895" max="5895" width="38.28515625" style="53" customWidth="1"/>
    <col min="5896" max="5896" width="11.7109375" style="53" customWidth="1"/>
    <col min="5897" max="5897" width="20.85546875" style="53" customWidth="1"/>
    <col min="5898" max="5898" width="18.42578125" style="53" customWidth="1"/>
    <col min="5899" max="5907" width="11.42578125" style="53" customWidth="1"/>
    <col min="5908" max="5908" width="11.7109375" style="53" customWidth="1"/>
    <col min="5909" max="5909" width="11.42578125" style="53" customWidth="1"/>
    <col min="5910" max="5910" width="11.7109375" style="53" customWidth="1"/>
    <col min="5911" max="5911" width="11.42578125" style="53" customWidth="1"/>
    <col min="5912" max="5912" width="11.7109375" style="53" customWidth="1"/>
    <col min="5913" max="5913" width="11.42578125" style="53" customWidth="1"/>
    <col min="5914" max="5914" width="11.7109375" style="53" customWidth="1"/>
    <col min="5915" max="5915" width="11.42578125" style="53" customWidth="1"/>
    <col min="5916" max="5916" width="11.7109375" style="53" customWidth="1"/>
    <col min="5917" max="5917" width="11.42578125" style="53" customWidth="1"/>
    <col min="5918" max="5918" width="11.7109375" style="53" customWidth="1"/>
    <col min="5919" max="5919" width="11.42578125" style="53" customWidth="1"/>
    <col min="5920" max="5920" width="18.85546875" style="53" customWidth="1"/>
    <col min="5921" max="5926" width="11.42578125" style="53" customWidth="1"/>
    <col min="5927" max="5927" width="14" style="53" customWidth="1"/>
    <col min="5928" max="5928" width="12" style="53" customWidth="1"/>
    <col min="5929" max="5929" width="14" style="53" customWidth="1"/>
    <col min="5930" max="5930" width="11" style="53" customWidth="1"/>
    <col min="5931" max="6144" width="11.42578125" style="53"/>
    <col min="6145" max="6145" width="12.85546875" style="53" customWidth="1"/>
    <col min="6146" max="6146" width="9.42578125" style="53" customWidth="1"/>
    <col min="6147" max="6147" width="7.85546875" style="53" customWidth="1"/>
    <col min="6148" max="6148" width="12" style="53" customWidth="1"/>
    <col min="6149" max="6149" width="11.5703125" style="53" customWidth="1"/>
    <col min="6150" max="6150" width="27.5703125" style="53" customWidth="1"/>
    <col min="6151" max="6151" width="38.28515625" style="53" customWidth="1"/>
    <col min="6152" max="6152" width="11.7109375" style="53" customWidth="1"/>
    <col min="6153" max="6153" width="20.85546875" style="53" customWidth="1"/>
    <col min="6154" max="6154" width="18.42578125" style="53" customWidth="1"/>
    <col min="6155" max="6163" width="11.42578125" style="53" customWidth="1"/>
    <col min="6164" max="6164" width="11.7109375" style="53" customWidth="1"/>
    <col min="6165" max="6165" width="11.42578125" style="53" customWidth="1"/>
    <col min="6166" max="6166" width="11.7109375" style="53" customWidth="1"/>
    <col min="6167" max="6167" width="11.42578125" style="53" customWidth="1"/>
    <col min="6168" max="6168" width="11.7109375" style="53" customWidth="1"/>
    <col min="6169" max="6169" width="11.42578125" style="53" customWidth="1"/>
    <col min="6170" max="6170" width="11.7109375" style="53" customWidth="1"/>
    <col min="6171" max="6171" width="11.42578125" style="53" customWidth="1"/>
    <col min="6172" max="6172" width="11.7109375" style="53" customWidth="1"/>
    <col min="6173" max="6173" width="11.42578125" style="53" customWidth="1"/>
    <col min="6174" max="6174" width="11.7109375" style="53" customWidth="1"/>
    <col min="6175" max="6175" width="11.42578125" style="53" customWidth="1"/>
    <col min="6176" max="6176" width="18.85546875" style="53" customWidth="1"/>
    <col min="6177" max="6182" width="11.42578125" style="53" customWidth="1"/>
    <col min="6183" max="6183" width="14" style="53" customWidth="1"/>
    <col min="6184" max="6184" width="12" style="53" customWidth="1"/>
    <col min="6185" max="6185" width="14" style="53" customWidth="1"/>
    <col min="6186" max="6186" width="11" style="53" customWidth="1"/>
    <col min="6187" max="6400" width="11.42578125" style="53"/>
    <col min="6401" max="6401" width="12.85546875" style="53" customWidth="1"/>
    <col min="6402" max="6402" width="9.42578125" style="53" customWidth="1"/>
    <col min="6403" max="6403" width="7.85546875" style="53" customWidth="1"/>
    <col min="6404" max="6404" width="12" style="53" customWidth="1"/>
    <col min="6405" max="6405" width="11.5703125" style="53" customWidth="1"/>
    <col min="6406" max="6406" width="27.5703125" style="53" customWidth="1"/>
    <col min="6407" max="6407" width="38.28515625" style="53" customWidth="1"/>
    <col min="6408" max="6408" width="11.7109375" style="53" customWidth="1"/>
    <col min="6409" max="6409" width="20.85546875" style="53" customWidth="1"/>
    <col min="6410" max="6410" width="18.42578125" style="53" customWidth="1"/>
    <col min="6411" max="6419" width="11.42578125" style="53" customWidth="1"/>
    <col min="6420" max="6420" width="11.7109375" style="53" customWidth="1"/>
    <col min="6421" max="6421" width="11.42578125" style="53" customWidth="1"/>
    <col min="6422" max="6422" width="11.7109375" style="53" customWidth="1"/>
    <col min="6423" max="6423" width="11.42578125" style="53" customWidth="1"/>
    <col min="6424" max="6424" width="11.7109375" style="53" customWidth="1"/>
    <col min="6425" max="6425" width="11.42578125" style="53" customWidth="1"/>
    <col min="6426" max="6426" width="11.7109375" style="53" customWidth="1"/>
    <col min="6427" max="6427" width="11.42578125" style="53" customWidth="1"/>
    <col min="6428" max="6428" width="11.7109375" style="53" customWidth="1"/>
    <col min="6429" max="6429" width="11.42578125" style="53" customWidth="1"/>
    <col min="6430" max="6430" width="11.7109375" style="53" customWidth="1"/>
    <col min="6431" max="6431" width="11.42578125" style="53" customWidth="1"/>
    <col min="6432" max="6432" width="18.85546875" style="53" customWidth="1"/>
    <col min="6433" max="6438" width="11.42578125" style="53" customWidth="1"/>
    <col min="6439" max="6439" width="14" style="53" customWidth="1"/>
    <col min="6440" max="6440" width="12" style="53" customWidth="1"/>
    <col min="6441" max="6441" width="14" style="53" customWidth="1"/>
    <col min="6442" max="6442" width="11" style="53" customWidth="1"/>
    <col min="6443" max="6656" width="11.42578125" style="53"/>
    <col min="6657" max="6657" width="12.85546875" style="53" customWidth="1"/>
    <col min="6658" max="6658" width="9.42578125" style="53" customWidth="1"/>
    <col min="6659" max="6659" width="7.85546875" style="53" customWidth="1"/>
    <col min="6660" max="6660" width="12" style="53" customWidth="1"/>
    <col min="6661" max="6661" width="11.5703125" style="53" customWidth="1"/>
    <col min="6662" max="6662" width="27.5703125" style="53" customWidth="1"/>
    <col min="6663" max="6663" width="38.28515625" style="53" customWidth="1"/>
    <col min="6664" max="6664" width="11.7109375" style="53" customWidth="1"/>
    <col min="6665" max="6665" width="20.85546875" style="53" customWidth="1"/>
    <col min="6666" max="6666" width="18.42578125" style="53" customWidth="1"/>
    <col min="6667" max="6675" width="11.42578125" style="53" customWidth="1"/>
    <col min="6676" max="6676" width="11.7109375" style="53" customWidth="1"/>
    <col min="6677" max="6677" width="11.42578125" style="53" customWidth="1"/>
    <col min="6678" max="6678" width="11.7109375" style="53" customWidth="1"/>
    <col min="6679" max="6679" width="11.42578125" style="53" customWidth="1"/>
    <col min="6680" max="6680" width="11.7109375" style="53" customWidth="1"/>
    <col min="6681" max="6681" width="11.42578125" style="53" customWidth="1"/>
    <col min="6682" max="6682" width="11.7109375" style="53" customWidth="1"/>
    <col min="6683" max="6683" width="11.42578125" style="53" customWidth="1"/>
    <col min="6684" max="6684" width="11.7109375" style="53" customWidth="1"/>
    <col min="6685" max="6685" width="11.42578125" style="53" customWidth="1"/>
    <col min="6686" max="6686" width="11.7109375" style="53" customWidth="1"/>
    <col min="6687" max="6687" width="11.42578125" style="53" customWidth="1"/>
    <col min="6688" max="6688" width="18.85546875" style="53" customWidth="1"/>
    <col min="6689" max="6694" width="11.42578125" style="53" customWidth="1"/>
    <col min="6695" max="6695" width="14" style="53" customWidth="1"/>
    <col min="6696" max="6696" width="12" style="53" customWidth="1"/>
    <col min="6697" max="6697" width="14" style="53" customWidth="1"/>
    <col min="6698" max="6698" width="11" style="53" customWidth="1"/>
    <col min="6699" max="6912" width="11.42578125" style="53"/>
    <col min="6913" max="6913" width="12.85546875" style="53" customWidth="1"/>
    <col min="6914" max="6914" width="9.42578125" style="53" customWidth="1"/>
    <col min="6915" max="6915" width="7.85546875" style="53" customWidth="1"/>
    <col min="6916" max="6916" width="12" style="53" customWidth="1"/>
    <col min="6917" max="6917" width="11.5703125" style="53" customWidth="1"/>
    <col min="6918" max="6918" width="27.5703125" style="53" customWidth="1"/>
    <col min="6919" max="6919" width="38.28515625" style="53" customWidth="1"/>
    <col min="6920" max="6920" width="11.7109375" style="53" customWidth="1"/>
    <col min="6921" max="6921" width="20.85546875" style="53" customWidth="1"/>
    <col min="6922" max="6922" width="18.42578125" style="53" customWidth="1"/>
    <col min="6923" max="6931" width="11.42578125" style="53" customWidth="1"/>
    <col min="6932" max="6932" width="11.7109375" style="53" customWidth="1"/>
    <col min="6933" max="6933" width="11.42578125" style="53" customWidth="1"/>
    <col min="6934" max="6934" width="11.7109375" style="53" customWidth="1"/>
    <col min="6935" max="6935" width="11.42578125" style="53" customWidth="1"/>
    <col min="6936" max="6936" width="11.7109375" style="53" customWidth="1"/>
    <col min="6937" max="6937" width="11.42578125" style="53" customWidth="1"/>
    <col min="6938" max="6938" width="11.7109375" style="53" customWidth="1"/>
    <col min="6939" max="6939" width="11.42578125" style="53" customWidth="1"/>
    <col min="6940" max="6940" width="11.7109375" style="53" customWidth="1"/>
    <col min="6941" max="6941" width="11.42578125" style="53" customWidth="1"/>
    <col min="6942" max="6942" width="11.7109375" style="53" customWidth="1"/>
    <col min="6943" max="6943" width="11.42578125" style="53" customWidth="1"/>
    <col min="6944" max="6944" width="18.85546875" style="53" customWidth="1"/>
    <col min="6945" max="6950" width="11.42578125" style="53" customWidth="1"/>
    <col min="6951" max="6951" width="14" style="53" customWidth="1"/>
    <col min="6952" max="6952" width="12" style="53" customWidth="1"/>
    <col min="6953" max="6953" width="14" style="53" customWidth="1"/>
    <col min="6954" max="6954" width="11" style="53" customWidth="1"/>
    <col min="6955" max="7168" width="11.42578125" style="53"/>
    <col min="7169" max="7169" width="12.85546875" style="53" customWidth="1"/>
    <col min="7170" max="7170" width="9.42578125" style="53" customWidth="1"/>
    <col min="7171" max="7171" width="7.85546875" style="53" customWidth="1"/>
    <col min="7172" max="7172" width="12" style="53" customWidth="1"/>
    <col min="7173" max="7173" width="11.5703125" style="53" customWidth="1"/>
    <col min="7174" max="7174" width="27.5703125" style="53" customWidth="1"/>
    <col min="7175" max="7175" width="38.28515625" style="53" customWidth="1"/>
    <col min="7176" max="7176" width="11.7109375" style="53" customWidth="1"/>
    <col min="7177" max="7177" width="20.85546875" style="53" customWidth="1"/>
    <col min="7178" max="7178" width="18.42578125" style="53" customWidth="1"/>
    <col min="7179" max="7187" width="11.42578125" style="53" customWidth="1"/>
    <col min="7188" max="7188" width="11.7109375" style="53" customWidth="1"/>
    <col min="7189" max="7189" width="11.42578125" style="53" customWidth="1"/>
    <col min="7190" max="7190" width="11.7109375" style="53" customWidth="1"/>
    <col min="7191" max="7191" width="11.42578125" style="53" customWidth="1"/>
    <col min="7192" max="7192" width="11.7109375" style="53" customWidth="1"/>
    <col min="7193" max="7193" width="11.42578125" style="53" customWidth="1"/>
    <col min="7194" max="7194" width="11.7109375" style="53" customWidth="1"/>
    <col min="7195" max="7195" width="11.42578125" style="53" customWidth="1"/>
    <col min="7196" max="7196" width="11.7109375" style="53" customWidth="1"/>
    <col min="7197" max="7197" width="11.42578125" style="53" customWidth="1"/>
    <col min="7198" max="7198" width="11.7109375" style="53" customWidth="1"/>
    <col min="7199" max="7199" width="11.42578125" style="53" customWidth="1"/>
    <col min="7200" max="7200" width="18.85546875" style="53" customWidth="1"/>
    <col min="7201" max="7206" width="11.42578125" style="53" customWidth="1"/>
    <col min="7207" max="7207" width="14" style="53" customWidth="1"/>
    <col min="7208" max="7208" width="12" style="53" customWidth="1"/>
    <col min="7209" max="7209" width="14" style="53" customWidth="1"/>
    <col min="7210" max="7210" width="11" style="53" customWidth="1"/>
    <col min="7211" max="7424" width="11.42578125" style="53"/>
    <col min="7425" max="7425" width="12.85546875" style="53" customWidth="1"/>
    <col min="7426" max="7426" width="9.42578125" style="53" customWidth="1"/>
    <col min="7427" max="7427" width="7.85546875" style="53" customWidth="1"/>
    <col min="7428" max="7428" width="12" style="53" customWidth="1"/>
    <col min="7429" max="7429" width="11.5703125" style="53" customWidth="1"/>
    <col min="7430" max="7430" width="27.5703125" style="53" customWidth="1"/>
    <col min="7431" max="7431" width="38.28515625" style="53" customWidth="1"/>
    <col min="7432" max="7432" width="11.7109375" style="53" customWidth="1"/>
    <col min="7433" max="7433" width="20.85546875" style="53" customWidth="1"/>
    <col min="7434" max="7434" width="18.42578125" style="53" customWidth="1"/>
    <col min="7435" max="7443" width="11.42578125" style="53" customWidth="1"/>
    <col min="7444" max="7444" width="11.7109375" style="53" customWidth="1"/>
    <col min="7445" max="7445" width="11.42578125" style="53" customWidth="1"/>
    <col min="7446" max="7446" width="11.7109375" style="53" customWidth="1"/>
    <col min="7447" max="7447" width="11.42578125" style="53" customWidth="1"/>
    <col min="7448" max="7448" width="11.7109375" style="53" customWidth="1"/>
    <col min="7449" max="7449" width="11.42578125" style="53" customWidth="1"/>
    <col min="7450" max="7450" width="11.7109375" style="53" customWidth="1"/>
    <col min="7451" max="7451" width="11.42578125" style="53" customWidth="1"/>
    <col min="7452" max="7452" width="11.7109375" style="53" customWidth="1"/>
    <col min="7453" max="7453" width="11.42578125" style="53" customWidth="1"/>
    <col min="7454" max="7454" width="11.7109375" style="53" customWidth="1"/>
    <col min="7455" max="7455" width="11.42578125" style="53" customWidth="1"/>
    <col min="7456" max="7456" width="18.85546875" style="53" customWidth="1"/>
    <col min="7457" max="7462" width="11.42578125" style="53" customWidth="1"/>
    <col min="7463" max="7463" width="14" style="53" customWidth="1"/>
    <col min="7464" max="7464" width="12" style="53" customWidth="1"/>
    <col min="7465" max="7465" width="14" style="53" customWidth="1"/>
    <col min="7466" max="7466" width="11" style="53" customWidth="1"/>
    <col min="7467" max="7680" width="11.42578125" style="53"/>
    <col min="7681" max="7681" width="12.85546875" style="53" customWidth="1"/>
    <col min="7682" max="7682" width="9.42578125" style="53" customWidth="1"/>
    <col min="7683" max="7683" width="7.85546875" style="53" customWidth="1"/>
    <col min="7684" max="7684" width="12" style="53" customWidth="1"/>
    <col min="7685" max="7685" width="11.5703125" style="53" customWidth="1"/>
    <col min="7686" max="7686" width="27.5703125" style="53" customWidth="1"/>
    <col min="7687" max="7687" width="38.28515625" style="53" customWidth="1"/>
    <col min="7688" max="7688" width="11.7109375" style="53" customWidth="1"/>
    <col min="7689" max="7689" width="20.85546875" style="53" customWidth="1"/>
    <col min="7690" max="7690" width="18.42578125" style="53" customWidth="1"/>
    <col min="7691" max="7699" width="11.42578125" style="53" customWidth="1"/>
    <col min="7700" max="7700" width="11.7109375" style="53" customWidth="1"/>
    <col min="7701" max="7701" width="11.42578125" style="53" customWidth="1"/>
    <col min="7702" max="7702" width="11.7109375" style="53" customWidth="1"/>
    <col min="7703" max="7703" width="11.42578125" style="53" customWidth="1"/>
    <col min="7704" max="7704" width="11.7109375" style="53" customWidth="1"/>
    <col min="7705" max="7705" width="11.42578125" style="53" customWidth="1"/>
    <col min="7706" max="7706" width="11.7109375" style="53" customWidth="1"/>
    <col min="7707" max="7707" width="11.42578125" style="53" customWidth="1"/>
    <col min="7708" max="7708" width="11.7109375" style="53" customWidth="1"/>
    <col min="7709" max="7709" width="11.42578125" style="53" customWidth="1"/>
    <col min="7710" max="7710" width="11.7109375" style="53" customWidth="1"/>
    <col min="7711" max="7711" width="11.42578125" style="53" customWidth="1"/>
    <col min="7712" max="7712" width="18.85546875" style="53" customWidth="1"/>
    <col min="7713" max="7718" width="11.42578125" style="53" customWidth="1"/>
    <col min="7719" max="7719" width="14" style="53" customWidth="1"/>
    <col min="7720" max="7720" width="12" style="53" customWidth="1"/>
    <col min="7721" max="7721" width="14" style="53" customWidth="1"/>
    <col min="7722" max="7722" width="11" style="53" customWidth="1"/>
    <col min="7723" max="7936" width="11.42578125" style="53"/>
    <col min="7937" max="7937" width="12.85546875" style="53" customWidth="1"/>
    <col min="7938" max="7938" width="9.42578125" style="53" customWidth="1"/>
    <col min="7939" max="7939" width="7.85546875" style="53" customWidth="1"/>
    <col min="7940" max="7940" width="12" style="53" customWidth="1"/>
    <col min="7941" max="7941" width="11.5703125" style="53" customWidth="1"/>
    <col min="7942" max="7942" width="27.5703125" style="53" customWidth="1"/>
    <col min="7943" max="7943" width="38.28515625" style="53" customWidth="1"/>
    <col min="7944" max="7944" width="11.7109375" style="53" customWidth="1"/>
    <col min="7945" max="7945" width="20.85546875" style="53" customWidth="1"/>
    <col min="7946" max="7946" width="18.42578125" style="53" customWidth="1"/>
    <col min="7947" max="7955" width="11.42578125" style="53" customWidth="1"/>
    <col min="7956" max="7956" width="11.7109375" style="53" customWidth="1"/>
    <col min="7957" max="7957" width="11.42578125" style="53" customWidth="1"/>
    <col min="7958" max="7958" width="11.7109375" style="53" customWidth="1"/>
    <col min="7959" max="7959" width="11.42578125" style="53" customWidth="1"/>
    <col min="7960" max="7960" width="11.7109375" style="53" customWidth="1"/>
    <col min="7961" max="7961" width="11.42578125" style="53" customWidth="1"/>
    <col min="7962" max="7962" width="11.7109375" style="53" customWidth="1"/>
    <col min="7963" max="7963" width="11.42578125" style="53" customWidth="1"/>
    <col min="7964" max="7964" width="11.7109375" style="53" customWidth="1"/>
    <col min="7965" max="7965" width="11.42578125" style="53" customWidth="1"/>
    <col min="7966" max="7966" width="11.7109375" style="53" customWidth="1"/>
    <col min="7967" max="7967" width="11.42578125" style="53" customWidth="1"/>
    <col min="7968" max="7968" width="18.85546875" style="53" customWidth="1"/>
    <col min="7969" max="7974" width="11.42578125" style="53" customWidth="1"/>
    <col min="7975" max="7975" width="14" style="53" customWidth="1"/>
    <col min="7976" max="7976" width="12" style="53" customWidth="1"/>
    <col min="7977" max="7977" width="14" style="53" customWidth="1"/>
    <col min="7978" max="7978" width="11" style="53" customWidth="1"/>
    <col min="7979" max="8192" width="11.42578125" style="53"/>
    <col min="8193" max="8193" width="12.85546875" style="53" customWidth="1"/>
    <col min="8194" max="8194" width="9.42578125" style="53" customWidth="1"/>
    <col min="8195" max="8195" width="7.85546875" style="53" customWidth="1"/>
    <col min="8196" max="8196" width="12" style="53" customWidth="1"/>
    <col min="8197" max="8197" width="11.5703125" style="53" customWidth="1"/>
    <col min="8198" max="8198" width="27.5703125" style="53" customWidth="1"/>
    <col min="8199" max="8199" width="38.28515625" style="53" customWidth="1"/>
    <col min="8200" max="8200" width="11.7109375" style="53" customWidth="1"/>
    <col min="8201" max="8201" width="20.85546875" style="53" customWidth="1"/>
    <col min="8202" max="8202" width="18.42578125" style="53" customWidth="1"/>
    <col min="8203" max="8211" width="11.42578125" style="53" customWidth="1"/>
    <col min="8212" max="8212" width="11.7109375" style="53" customWidth="1"/>
    <col min="8213" max="8213" width="11.42578125" style="53" customWidth="1"/>
    <col min="8214" max="8214" width="11.7109375" style="53" customWidth="1"/>
    <col min="8215" max="8215" width="11.42578125" style="53" customWidth="1"/>
    <col min="8216" max="8216" width="11.7109375" style="53" customWidth="1"/>
    <col min="8217" max="8217" width="11.42578125" style="53" customWidth="1"/>
    <col min="8218" max="8218" width="11.7109375" style="53" customWidth="1"/>
    <col min="8219" max="8219" width="11.42578125" style="53" customWidth="1"/>
    <col min="8220" max="8220" width="11.7109375" style="53" customWidth="1"/>
    <col min="8221" max="8221" width="11.42578125" style="53" customWidth="1"/>
    <col min="8222" max="8222" width="11.7109375" style="53" customWidth="1"/>
    <col min="8223" max="8223" width="11.42578125" style="53" customWidth="1"/>
    <col min="8224" max="8224" width="18.85546875" style="53" customWidth="1"/>
    <col min="8225" max="8230" width="11.42578125" style="53" customWidth="1"/>
    <col min="8231" max="8231" width="14" style="53" customWidth="1"/>
    <col min="8232" max="8232" width="12" style="53" customWidth="1"/>
    <col min="8233" max="8233" width="14" style="53" customWidth="1"/>
    <col min="8234" max="8234" width="11" style="53" customWidth="1"/>
    <col min="8235" max="8448" width="11.42578125" style="53"/>
    <col min="8449" max="8449" width="12.85546875" style="53" customWidth="1"/>
    <col min="8450" max="8450" width="9.42578125" style="53" customWidth="1"/>
    <col min="8451" max="8451" width="7.85546875" style="53" customWidth="1"/>
    <col min="8452" max="8452" width="12" style="53" customWidth="1"/>
    <col min="8453" max="8453" width="11.5703125" style="53" customWidth="1"/>
    <col min="8454" max="8454" width="27.5703125" style="53" customWidth="1"/>
    <col min="8455" max="8455" width="38.28515625" style="53" customWidth="1"/>
    <col min="8456" max="8456" width="11.7109375" style="53" customWidth="1"/>
    <col min="8457" max="8457" width="20.85546875" style="53" customWidth="1"/>
    <col min="8458" max="8458" width="18.42578125" style="53" customWidth="1"/>
    <col min="8459" max="8467" width="11.42578125" style="53" customWidth="1"/>
    <col min="8468" max="8468" width="11.7109375" style="53" customWidth="1"/>
    <col min="8469" max="8469" width="11.42578125" style="53" customWidth="1"/>
    <col min="8470" max="8470" width="11.7109375" style="53" customWidth="1"/>
    <col min="8471" max="8471" width="11.42578125" style="53" customWidth="1"/>
    <col min="8472" max="8472" width="11.7109375" style="53" customWidth="1"/>
    <col min="8473" max="8473" width="11.42578125" style="53" customWidth="1"/>
    <col min="8474" max="8474" width="11.7109375" style="53" customWidth="1"/>
    <col min="8475" max="8475" width="11.42578125" style="53" customWidth="1"/>
    <col min="8476" max="8476" width="11.7109375" style="53" customWidth="1"/>
    <col min="8477" max="8477" width="11.42578125" style="53" customWidth="1"/>
    <col min="8478" max="8478" width="11.7109375" style="53" customWidth="1"/>
    <col min="8479" max="8479" width="11.42578125" style="53" customWidth="1"/>
    <col min="8480" max="8480" width="18.85546875" style="53" customWidth="1"/>
    <col min="8481" max="8486" width="11.42578125" style="53" customWidth="1"/>
    <col min="8487" max="8487" width="14" style="53" customWidth="1"/>
    <col min="8488" max="8488" width="12" style="53" customWidth="1"/>
    <col min="8489" max="8489" width="14" style="53" customWidth="1"/>
    <col min="8490" max="8490" width="11" style="53" customWidth="1"/>
    <col min="8491" max="8704" width="11.42578125" style="53"/>
    <col min="8705" max="8705" width="12.85546875" style="53" customWidth="1"/>
    <col min="8706" max="8706" width="9.42578125" style="53" customWidth="1"/>
    <col min="8707" max="8707" width="7.85546875" style="53" customWidth="1"/>
    <col min="8708" max="8708" width="12" style="53" customWidth="1"/>
    <col min="8709" max="8709" width="11.5703125" style="53" customWidth="1"/>
    <col min="8710" max="8710" width="27.5703125" style="53" customWidth="1"/>
    <col min="8711" max="8711" width="38.28515625" style="53" customWidth="1"/>
    <col min="8712" max="8712" width="11.7109375" style="53" customWidth="1"/>
    <col min="8713" max="8713" width="20.85546875" style="53" customWidth="1"/>
    <col min="8714" max="8714" width="18.42578125" style="53" customWidth="1"/>
    <col min="8715" max="8723" width="11.42578125" style="53" customWidth="1"/>
    <col min="8724" max="8724" width="11.7109375" style="53" customWidth="1"/>
    <col min="8725" max="8725" width="11.42578125" style="53" customWidth="1"/>
    <col min="8726" max="8726" width="11.7109375" style="53" customWidth="1"/>
    <col min="8727" max="8727" width="11.42578125" style="53" customWidth="1"/>
    <col min="8728" max="8728" width="11.7109375" style="53" customWidth="1"/>
    <col min="8729" max="8729" width="11.42578125" style="53" customWidth="1"/>
    <col min="8730" max="8730" width="11.7109375" style="53" customWidth="1"/>
    <col min="8731" max="8731" width="11.42578125" style="53" customWidth="1"/>
    <col min="8732" max="8732" width="11.7109375" style="53" customWidth="1"/>
    <col min="8733" max="8733" width="11.42578125" style="53" customWidth="1"/>
    <col min="8734" max="8734" width="11.7109375" style="53" customWidth="1"/>
    <col min="8735" max="8735" width="11.42578125" style="53" customWidth="1"/>
    <col min="8736" max="8736" width="18.85546875" style="53" customWidth="1"/>
    <col min="8737" max="8742" width="11.42578125" style="53" customWidth="1"/>
    <col min="8743" max="8743" width="14" style="53" customWidth="1"/>
    <col min="8744" max="8744" width="12" style="53" customWidth="1"/>
    <col min="8745" max="8745" width="14" style="53" customWidth="1"/>
    <col min="8746" max="8746" width="11" style="53" customWidth="1"/>
    <col min="8747" max="8960" width="11.42578125" style="53"/>
    <col min="8961" max="8961" width="12.85546875" style="53" customWidth="1"/>
    <col min="8962" max="8962" width="9.42578125" style="53" customWidth="1"/>
    <col min="8963" max="8963" width="7.85546875" style="53" customWidth="1"/>
    <col min="8964" max="8964" width="12" style="53" customWidth="1"/>
    <col min="8965" max="8965" width="11.5703125" style="53" customWidth="1"/>
    <col min="8966" max="8966" width="27.5703125" style="53" customWidth="1"/>
    <col min="8967" max="8967" width="38.28515625" style="53" customWidth="1"/>
    <col min="8968" max="8968" width="11.7109375" style="53" customWidth="1"/>
    <col min="8969" max="8969" width="20.85546875" style="53" customWidth="1"/>
    <col min="8970" max="8970" width="18.42578125" style="53" customWidth="1"/>
    <col min="8971" max="8979" width="11.42578125" style="53" customWidth="1"/>
    <col min="8980" max="8980" width="11.7109375" style="53" customWidth="1"/>
    <col min="8981" max="8981" width="11.42578125" style="53" customWidth="1"/>
    <col min="8982" max="8982" width="11.7109375" style="53" customWidth="1"/>
    <col min="8983" max="8983" width="11.42578125" style="53" customWidth="1"/>
    <col min="8984" max="8984" width="11.7109375" style="53" customWidth="1"/>
    <col min="8985" max="8985" width="11.42578125" style="53" customWidth="1"/>
    <col min="8986" max="8986" width="11.7109375" style="53" customWidth="1"/>
    <col min="8987" max="8987" width="11.42578125" style="53" customWidth="1"/>
    <col min="8988" max="8988" width="11.7109375" style="53" customWidth="1"/>
    <col min="8989" max="8989" width="11.42578125" style="53" customWidth="1"/>
    <col min="8990" max="8990" width="11.7109375" style="53" customWidth="1"/>
    <col min="8991" max="8991" width="11.42578125" style="53" customWidth="1"/>
    <col min="8992" max="8992" width="18.85546875" style="53" customWidth="1"/>
    <col min="8993" max="8998" width="11.42578125" style="53" customWidth="1"/>
    <col min="8999" max="8999" width="14" style="53" customWidth="1"/>
    <col min="9000" max="9000" width="12" style="53" customWidth="1"/>
    <col min="9001" max="9001" width="14" style="53" customWidth="1"/>
    <col min="9002" max="9002" width="11" style="53" customWidth="1"/>
    <col min="9003" max="9216" width="11.42578125" style="53"/>
    <col min="9217" max="9217" width="12.85546875" style="53" customWidth="1"/>
    <col min="9218" max="9218" width="9.42578125" style="53" customWidth="1"/>
    <col min="9219" max="9219" width="7.85546875" style="53" customWidth="1"/>
    <col min="9220" max="9220" width="12" style="53" customWidth="1"/>
    <col min="9221" max="9221" width="11.5703125" style="53" customWidth="1"/>
    <col min="9222" max="9222" width="27.5703125" style="53" customWidth="1"/>
    <col min="9223" max="9223" width="38.28515625" style="53" customWidth="1"/>
    <col min="9224" max="9224" width="11.7109375" style="53" customWidth="1"/>
    <col min="9225" max="9225" width="20.85546875" style="53" customWidth="1"/>
    <col min="9226" max="9226" width="18.42578125" style="53" customWidth="1"/>
    <col min="9227" max="9235" width="11.42578125" style="53" customWidth="1"/>
    <col min="9236" max="9236" width="11.7109375" style="53" customWidth="1"/>
    <col min="9237" max="9237" width="11.42578125" style="53" customWidth="1"/>
    <col min="9238" max="9238" width="11.7109375" style="53" customWidth="1"/>
    <col min="9239" max="9239" width="11.42578125" style="53" customWidth="1"/>
    <col min="9240" max="9240" width="11.7109375" style="53" customWidth="1"/>
    <col min="9241" max="9241" width="11.42578125" style="53" customWidth="1"/>
    <col min="9242" max="9242" width="11.7109375" style="53" customWidth="1"/>
    <col min="9243" max="9243" width="11.42578125" style="53" customWidth="1"/>
    <col min="9244" max="9244" width="11.7109375" style="53" customWidth="1"/>
    <col min="9245" max="9245" width="11.42578125" style="53" customWidth="1"/>
    <col min="9246" max="9246" width="11.7109375" style="53" customWidth="1"/>
    <col min="9247" max="9247" width="11.42578125" style="53" customWidth="1"/>
    <col min="9248" max="9248" width="18.85546875" style="53" customWidth="1"/>
    <col min="9249" max="9254" width="11.42578125" style="53" customWidth="1"/>
    <col min="9255" max="9255" width="14" style="53" customWidth="1"/>
    <col min="9256" max="9256" width="12" style="53" customWidth="1"/>
    <col min="9257" max="9257" width="14" style="53" customWidth="1"/>
    <col min="9258" max="9258" width="11" style="53" customWidth="1"/>
    <col min="9259" max="9472" width="11.42578125" style="53"/>
    <col min="9473" max="9473" width="12.85546875" style="53" customWidth="1"/>
    <col min="9474" max="9474" width="9.42578125" style="53" customWidth="1"/>
    <col min="9475" max="9475" width="7.85546875" style="53" customWidth="1"/>
    <col min="9476" max="9476" width="12" style="53" customWidth="1"/>
    <col min="9477" max="9477" width="11.5703125" style="53" customWidth="1"/>
    <col min="9478" max="9478" width="27.5703125" style="53" customWidth="1"/>
    <col min="9479" max="9479" width="38.28515625" style="53" customWidth="1"/>
    <col min="9480" max="9480" width="11.7109375" style="53" customWidth="1"/>
    <col min="9481" max="9481" width="20.85546875" style="53" customWidth="1"/>
    <col min="9482" max="9482" width="18.42578125" style="53" customWidth="1"/>
    <col min="9483" max="9491" width="11.42578125" style="53" customWidth="1"/>
    <col min="9492" max="9492" width="11.7109375" style="53" customWidth="1"/>
    <col min="9493" max="9493" width="11.42578125" style="53" customWidth="1"/>
    <col min="9494" max="9494" width="11.7109375" style="53" customWidth="1"/>
    <col min="9495" max="9495" width="11.42578125" style="53" customWidth="1"/>
    <col min="9496" max="9496" width="11.7109375" style="53" customWidth="1"/>
    <col min="9497" max="9497" width="11.42578125" style="53" customWidth="1"/>
    <col min="9498" max="9498" width="11.7109375" style="53" customWidth="1"/>
    <col min="9499" max="9499" width="11.42578125" style="53" customWidth="1"/>
    <col min="9500" max="9500" width="11.7109375" style="53" customWidth="1"/>
    <col min="9501" max="9501" width="11.42578125" style="53" customWidth="1"/>
    <col min="9502" max="9502" width="11.7109375" style="53" customWidth="1"/>
    <col min="9503" max="9503" width="11.42578125" style="53" customWidth="1"/>
    <col min="9504" max="9504" width="18.85546875" style="53" customWidth="1"/>
    <col min="9505" max="9510" width="11.42578125" style="53" customWidth="1"/>
    <col min="9511" max="9511" width="14" style="53" customWidth="1"/>
    <col min="9512" max="9512" width="12" style="53" customWidth="1"/>
    <col min="9513" max="9513" width="14" style="53" customWidth="1"/>
    <col min="9514" max="9514" width="11" style="53" customWidth="1"/>
    <col min="9515" max="9728" width="11.42578125" style="53"/>
    <col min="9729" max="9729" width="12.85546875" style="53" customWidth="1"/>
    <col min="9730" max="9730" width="9.42578125" style="53" customWidth="1"/>
    <col min="9731" max="9731" width="7.85546875" style="53" customWidth="1"/>
    <col min="9732" max="9732" width="12" style="53" customWidth="1"/>
    <col min="9733" max="9733" width="11.5703125" style="53" customWidth="1"/>
    <col min="9734" max="9734" width="27.5703125" style="53" customWidth="1"/>
    <col min="9735" max="9735" width="38.28515625" style="53" customWidth="1"/>
    <col min="9736" max="9736" width="11.7109375" style="53" customWidth="1"/>
    <col min="9737" max="9737" width="20.85546875" style="53" customWidth="1"/>
    <col min="9738" max="9738" width="18.42578125" style="53" customWidth="1"/>
    <col min="9739" max="9747" width="11.42578125" style="53" customWidth="1"/>
    <col min="9748" max="9748" width="11.7109375" style="53" customWidth="1"/>
    <col min="9749" max="9749" width="11.42578125" style="53" customWidth="1"/>
    <col min="9750" max="9750" width="11.7109375" style="53" customWidth="1"/>
    <col min="9751" max="9751" width="11.42578125" style="53" customWidth="1"/>
    <col min="9752" max="9752" width="11.7109375" style="53" customWidth="1"/>
    <col min="9753" max="9753" width="11.42578125" style="53" customWidth="1"/>
    <col min="9754" max="9754" width="11.7109375" style="53" customWidth="1"/>
    <col min="9755" max="9755" width="11.42578125" style="53" customWidth="1"/>
    <col min="9756" max="9756" width="11.7109375" style="53" customWidth="1"/>
    <col min="9757" max="9757" width="11.42578125" style="53" customWidth="1"/>
    <col min="9758" max="9758" width="11.7109375" style="53" customWidth="1"/>
    <col min="9759" max="9759" width="11.42578125" style="53" customWidth="1"/>
    <col min="9760" max="9760" width="18.85546875" style="53" customWidth="1"/>
    <col min="9761" max="9766" width="11.42578125" style="53" customWidth="1"/>
    <col min="9767" max="9767" width="14" style="53" customWidth="1"/>
    <col min="9768" max="9768" width="12" style="53" customWidth="1"/>
    <col min="9769" max="9769" width="14" style="53" customWidth="1"/>
    <col min="9770" max="9770" width="11" style="53" customWidth="1"/>
    <col min="9771" max="9984" width="11.42578125" style="53"/>
    <col min="9985" max="9985" width="12.85546875" style="53" customWidth="1"/>
    <col min="9986" max="9986" width="9.42578125" style="53" customWidth="1"/>
    <col min="9987" max="9987" width="7.85546875" style="53" customWidth="1"/>
    <col min="9988" max="9988" width="12" style="53" customWidth="1"/>
    <col min="9989" max="9989" width="11.5703125" style="53" customWidth="1"/>
    <col min="9990" max="9990" width="27.5703125" style="53" customWidth="1"/>
    <col min="9991" max="9991" width="38.28515625" style="53" customWidth="1"/>
    <col min="9992" max="9992" width="11.7109375" style="53" customWidth="1"/>
    <col min="9993" max="9993" width="20.85546875" style="53" customWidth="1"/>
    <col min="9994" max="9994" width="18.42578125" style="53" customWidth="1"/>
    <col min="9995" max="10003" width="11.42578125" style="53" customWidth="1"/>
    <col min="10004" max="10004" width="11.7109375" style="53" customWidth="1"/>
    <col min="10005" max="10005" width="11.42578125" style="53" customWidth="1"/>
    <col min="10006" max="10006" width="11.7109375" style="53" customWidth="1"/>
    <col min="10007" max="10007" width="11.42578125" style="53" customWidth="1"/>
    <col min="10008" max="10008" width="11.7109375" style="53" customWidth="1"/>
    <col min="10009" max="10009" width="11.42578125" style="53" customWidth="1"/>
    <col min="10010" max="10010" width="11.7109375" style="53" customWidth="1"/>
    <col min="10011" max="10011" width="11.42578125" style="53" customWidth="1"/>
    <col min="10012" max="10012" width="11.7109375" style="53" customWidth="1"/>
    <col min="10013" max="10013" width="11.42578125" style="53" customWidth="1"/>
    <col min="10014" max="10014" width="11.7109375" style="53" customWidth="1"/>
    <col min="10015" max="10015" width="11.42578125" style="53" customWidth="1"/>
    <col min="10016" max="10016" width="18.85546875" style="53" customWidth="1"/>
    <col min="10017" max="10022" width="11.42578125" style="53" customWidth="1"/>
    <col min="10023" max="10023" width="14" style="53" customWidth="1"/>
    <col min="10024" max="10024" width="12" style="53" customWidth="1"/>
    <col min="10025" max="10025" width="14" style="53" customWidth="1"/>
    <col min="10026" max="10026" width="11" style="53" customWidth="1"/>
    <col min="10027" max="10240" width="11.42578125" style="53"/>
    <col min="10241" max="10241" width="12.85546875" style="53" customWidth="1"/>
    <col min="10242" max="10242" width="9.42578125" style="53" customWidth="1"/>
    <col min="10243" max="10243" width="7.85546875" style="53" customWidth="1"/>
    <col min="10244" max="10244" width="12" style="53" customWidth="1"/>
    <col min="10245" max="10245" width="11.5703125" style="53" customWidth="1"/>
    <col min="10246" max="10246" width="27.5703125" style="53" customWidth="1"/>
    <col min="10247" max="10247" width="38.28515625" style="53" customWidth="1"/>
    <col min="10248" max="10248" width="11.7109375" style="53" customWidth="1"/>
    <col min="10249" max="10249" width="20.85546875" style="53" customWidth="1"/>
    <col min="10250" max="10250" width="18.42578125" style="53" customWidth="1"/>
    <col min="10251" max="10259" width="11.42578125" style="53" customWidth="1"/>
    <col min="10260" max="10260" width="11.7109375" style="53" customWidth="1"/>
    <col min="10261" max="10261" width="11.42578125" style="53" customWidth="1"/>
    <col min="10262" max="10262" width="11.7109375" style="53" customWidth="1"/>
    <col min="10263" max="10263" width="11.42578125" style="53" customWidth="1"/>
    <col min="10264" max="10264" width="11.7109375" style="53" customWidth="1"/>
    <col min="10265" max="10265" width="11.42578125" style="53" customWidth="1"/>
    <col min="10266" max="10266" width="11.7109375" style="53" customWidth="1"/>
    <col min="10267" max="10267" width="11.42578125" style="53" customWidth="1"/>
    <col min="10268" max="10268" width="11.7109375" style="53" customWidth="1"/>
    <col min="10269" max="10269" width="11.42578125" style="53" customWidth="1"/>
    <col min="10270" max="10270" width="11.7109375" style="53" customWidth="1"/>
    <col min="10271" max="10271" width="11.42578125" style="53" customWidth="1"/>
    <col min="10272" max="10272" width="18.85546875" style="53" customWidth="1"/>
    <col min="10273" max="10278" width="11.42578125" style="53" customWidth="1"/>
    <col min="10279" max="10279" width="14" style="53" customWidth="1"/>
    <col min="10280" max="10280" width="12" style="53" customWidth="1"/>
    <col min="10281" max="10281" width="14" style="53" customWidth="1"/>
    <col min="10282" max="10282" width="11" style="53" customWidth="1"/>
    <col min="10283" max="10496" width="11.42578125" style="53"/>
    <col min="10497" max="10497" width="12.85546875" style="53" customWidth="1"/>
    <col min="10498" max="10498" width="9.42578125" style="53" customWidth="1"/>
    <col min="10499" max="10499" width="7.85546875" style="53" customWidth="1"/>
    <col min="10500" max="10500" width="12" style="53" customWidth="1"/>
    <col min="10501" max="10501" width="11.5703125" style="53" customWidth="1"/>
    <col min="10502" max="10502" width="27.5703125" style="53" customWidth="1"/>
    <col min="10503" max="10503" width="38.28515625" style="53" customWidth="1"/>
    <col min="10504" max="10504" width="11.7109375" style="53" customWidth="1"/>
    <col min="10505" max="10505" width="20.85546875" style="53" customWidth="1"/>
    <col min="10506" max="10506" width="18.42578125" style="53" customWidth="1"/>
    <col min="10507" max="10515" width="11.42578125" style="53" customWidth="1"/>
    <col min="10516" max="10516" width="11.7109375" style="53" customWidth="1"/>
    <col min="10517" max="10517" width="11.42578125" style="53" customWidth="1"/>
    <col min="10518" max="10518" width="11.7109375" style="53" customWidth="1"/>
    <col min="10519" max="10519" width="11.42578125" style="53" customWidth="1"/>
    <col min="10520" max="10520" width="11.7109375" style="53" customWidth="1"/>
    <col min="10521" max="10521" width="11.42578125" style="53" customWidth="1"/>
    <col min="10522" max="10522" width="11.7109375" style="53" customWidth="1"/>
    <col min="10523" max="10523" width="11.42578125" style="53" customWidth="1"/>
    <col min="10524" max="10524" width="11.7109375" style="53" customWidth="1"/>
    <col min="10525" max="10525" width="11.42578125" style="53" customWidth="1"/>
    <col min="10526" max="10526" width="11.7109375" style="53" customWidth="1"/>
    <col min="10527" max="10527" width="11.42578125" style="53" customWidth="1"/>
    <col min="10528" max="10528" width="18.85546875" style="53" customWidth="1"/>
    <col min="10529" max="10534" width="11.42578125" style="53" customWidth="1"/>
    <col min="10535" max="10535" width="14" style="53" customWidth="1"/>
    <col min="10536" max="10536" width="12" style="53" customWidth="1"/>
    <col min="10537" max="10537" width="14" style="53" customWidth="1"/>
    <col min="10538" max="10538" width="11" style="53" customWidth="1"/>
    <col min="10539" max="10752" width="11.42578125" style="53"/>
    <col min="10753" max="10753" width="12.85546875" style="53" customWidth="1"/>
    <col min="10754" max="10754" width="9.42578125" style="53" customWidth="1"/>
    <col min="10755" max="10755" width="7.85546875" style="53" customWidth="1"/>
    <col min="10756" max="10756" width="12" style="53" customWidth="1"/>
    <col min="10757" max="10757" width="11.5703125" style="53" customWidth="1"/>
    <col min="10758" max="10758" width="27.5703125" style="53" customWidth="1"/>
    <col min="10759" max="10759" width="38.28515625" style="53" customWidth="1"/>
    <col min="10760" max="10760" width="11.7109375" style="53" customWidth="1"/>
    <col min="10761" max="10761" width="20.85546875" style="53" customWidth="1"/>
    <col min="10762" max="10762" width="18.42578125" style="53" customWidth="1"/>
    <col min="10763" max="10771" width="11.42578125" style="53" customWidth="1"/>
    <col min="10772" max="10772" width="11.7109375" style="53" customWidth="1"/>
    <col min="10773" max="10773" width="11.42578125" style="53" customWidth="1"/>
    <col min="10774" max="10774" width="11.7109375" style="53" customWidth="1"/>
    <col min="10775" max="10775" width="11.42578125" style="53" customWidth="1"/>
    <col min="10776" max="10776" width="11.7109375" style="53" customWidth="1"/>
    <col min="10777" max="10777" width="11.42578125" style="53" customWidth="1"/>
    <col min="10778" max="10778" width="11.7109375" style="53" customWidth="1"/>
    <col min="10779" max="10779" width="11.42578125" style="53" customWidth="1"/>
    <col min="10780" max="10780" width="11.7109375" style="53" customWidth="1"/>
    <col min="10781" max="10781" width="11.42578125" style="53" customWidth="1"/>
    <col min="10782" max="10782" width="11.7109375" style="53" customWidth="1"/>
    <col min="10783" max="10783" width="11.42578125" style="53" customWidth="1"/>
    <col min="10784" max="10784" width="18.85546875" style="53" customWidth="1"/>
    <col min="10785" max="10790" width="11.42578125" style="53" customWidth="1"/>
    <col min="10791" max="10791" width="14" style="53" customWidth="1"/>
    <col min="10792" max="10792" width="12" style="53" customWidth="1"/>
    <col min="10793" max="10793" width="14" style="53" customWidth="1"/>
    <col min="10794" max="10794" width="11" style="53" customWidth="1"/>
    <col min="10795" max="11008" width="11.42578125" style="53"/>
    <col min="11009" max="11009" width="12.85546875" style="53" customWidth="1"/>
    <col min="11010" max="11010" width="9.42578125" style="53" customWidth="1"/>
    <col min="11011" max="11011" width="7.85546875" style="53" customWidth="1"/>
    <col min="11012" max="11012" width="12" style="53" customWidth="1"/>
    <col min="11013" max="11013" width="11.5703125" style="53" customWidth="1"/>
    <col min="11014" max="11014" width="27.5703125" style="53" customWidth="1"/>
    <col min="11015" max="11015" width="38.28515625" style="53" customWidth="1"/>
    <col min="11016" max="11016" width="11.7109375" style="53" customWidth="1"/>
    <col min="11017" max="11017" width="20.85546875" style="53" customWidth="1"/>
    <col min="11018" max="11018" width="18.42578125" style="53" customWidth="1"/>
    <col min="11019" max="11027" width="11.42578125" style="53" customWidth="1"/>
    <col min="11028" max="11028" width="11.7109375" style="53" customWidth="1"/>
    <col min="11029" max="11029" width="11.42578125" style="53" customWidth="1"/>
    <col min="11030" max="11030" width="11.7109375" style="53" customWidth="1"/>
    <col min="11031" max="11031" width="11.42578125" style="53" customWidth="1"/>
    <col min="11032" max="11032" width="11.7109375" style="53" customWidth="1"/>
    <col min="11033" max="11033" width="11.42578125" style="53" customWidth="1"/>
    <col min="11034" max="11034" width="11.7109375" style="53" customWidth="1"/>
    <col min="11035" max="11035" width="11.42578125" style="53" customWidth="1"/>
    <col min="11036" max="11036" width="11.7109375" style="53" customWidth="1"/>
    <col min="11037" max="11037" width="11.42578125" style="53" customWidth="1"/>
    <col min="11038" max="11038" width="11.7109375" style="53" customWidth="1"/>
    <col min="11039" max="11039" width="11.42578125" style="53" customWidth="1"/>
    <col min="11040" max="11040" width="18.85546875" style="53" customWidth="1"/>
    <col min="11041" max="11046" width="11.42578125" style="53" customWidth="1"/>
    <col min="11047" max="11047" width="14" style="53" customWidth="1"/>
    <col min="11048" max="11048" width="12" style="53" customWidth="1"/>
    <col min="11049" max="11049" width="14" style="53" customWidth="1"/>
    <col min="11050" max="11050" width="11" style="53" customWidth="1"/>
    <col min="11051" max="11264" width="11.42578125" style="53"/>
    <col min="11265" max="11265" width="12.85546875" style="53" customWidth="1"/>
    <col min="11266" max="11266" width="9.42578125" style="53" customWidth="1"/>
    <col min="11267" max="11267" width="7.85546875" style="53" customWidth="1"/>
    <col min="11268" max="11268" width="12" style="53" customWidth="1"/>
    <col min="11269" max="11269" width="11.5703125" style="53" customWidth="1"/>
    <col min="11270" max="11270" width="27.5703125" style="53" customWidth="1"/>
    <col min="11271" max="11271" width="38.28515625" style="53" customWidth="1"/>
    <col min="11272" max="11272" width="11.7109375" style="53" customWidth="1"/>
    <col min="11273" max="11273" width="20.85546875" style="53" customWidth="1"/>
    <col min="11274" max="11274" width="18.42578125" style="53" customWidth="1"/>
    <col min="11275" max="11283" width="11.42578125" style="53" customWidth="1"/>
    <col min="11284" max="11284" width="11.7109375" style="53" customWidth="1"/>
    <col min="11285" max="11285" width="11.42578125" style="53" customWidth="1"/>
    <col min="11286" max="11286" width="11.7109375" style="53" customWidth="1"/>
    <col min="11287" max="11287" width="11.42578125" style="53" customWidth="1"/>
    <col min="11288" max="11288" width="11.7109375" style="53" customWidth="1"/>
    <col min="11289" max="11289" width="11.42578125" style="53" customWidth="1"/>
    <col min="11290" max="11290" width="11.7109375" style="53" customWidth="1"/>
    <col min="11291" max="11291" width="11.42578125" style="53" customWidth="1"/>
    <col min="11292" max="11292" width="11.7109375" style="53" customWidth="1"/>
    <col min="11293" max="11293" width="11.42578125" style="53" customWidth="1"/>
    <col min="11294" max="11294" width="11.7109375" style="53" customWidth="1"/>
    <col min="11295" max="11295" width="11.42578125" style="53" customWidth="1"/>
    <col min="11296" max="11296" width="18.85546875" style="53" customWidth="1"/>
    <col min="11297" max="11302" width="11.42578125" style="53" customWidth="1"/>
    <col min="11303" max="11303" width="14" style="53" customWidth="1"/>
    <col min="11304" max="11304" width="12" style="53" customWidth="1"/>
    <col min="11305" max="11305" width="14" style="53" customWidth="1"/>
    <col min="11306" max="11306" width="11" style="53" customWidth="1"/>
    <col min="11307" max="11520" width="11.42578125" style="53"/>
    <col min="11521" max="11521" width="12.85546875" style="53" customWidth="1"/>
    <col min="11522" max="11522" width="9.42578125" style="53" customWidth="1"/>
    <col min="11523" max="11523" width="7.85546875" style="53" customWidth="1"/>
    <col min="11524" max="11524" width="12" style="53" customWidth="1"/>
    <col min="11525" max="11525" width="11.5703125" style="53" customWidth="1"/>
    <col min="11526" max="11526" width="27.5703125" style="53" customWidth="1"/>
    <col min="11527" max="11527" width="38.28515625" style="53" customWidth="1"/>
    <col min="11528" max="11528" width="11.7109375" style="53" customWidth="1"/>
    <col min="11529" max="11529" width="20.85546875" style="53" customWidth="1"/>
    <col min="11530" max="11530" width="18.42578125" style="53" customWidth="1"/>
    <col min="11531" max="11539" width="11.42578125" style="53" customWidth="1"/>
    <col min="11540" max="11540" width="11.7109375" style="53" customWidth="1"/>
    <col min="11541" max="11541" width="11.42578125" style="53" customWidth="1"/>
    <col min="11542" max="11542" width="11.7109375" style="53" customWidth="1"/>
    <col min="11543" max="11543" width="11.42578125" style="53" customWidth="1"/>
    <col min="11544" max="11544" width="11.7109375" style="53" customWidth="1"/>
    <col min="11545" max="11545" width="11.42578125" style="53" customWidth="1"/>
    <col min="11546" max="11546" width="11.7109375" style="53" customWidth="1"/>
    <col min="11547" max="11547" width="11.42578125" style="53" customWidth="1"/>
    <col min="11548" max="11548" width="11.7109375" style="53" customWidth="1"/>
    <col min="11549" max="11549" width="11.42578125" style="53" customWidth="1"/>
    <col min="11550" max="11550" width="11.7109375" style="53" customWidth="1"/>
    <col min="11551" max="11551" width="11.42578125" style="53" customWidth="1"/>
    <col min="11552" max="11552" width="18.85546875" style="53" customWidth="1"/>
    <col min="11553" max="11558" width="11.42578125" style="53" customWidth="1"/>
    <col min="11559" max="11559" width="14" style="53" customWidth="1"/>
    <col min="11560" max="11560" width="12" style="53" customWidth="1"/>
    <col min="11561" max="11561" width="14" style="53" customWidth="1"/>
    <col min="11562" max="11562" width="11" style="53" customWidth="1"/>
    <col min="11563" max="11776" width="11.42578125" style="53"/>
    <col min="11777" max="11777" width="12.85546875" style="53" customWidth="1"/>
    <col min="11778" max="11778" width="9.42578125" style="53" customWidth="1"/>
    <col min="11779" max="11779" width="7.85546875" style="53" customWidth="1"/>
    <col min="11780" max="11780" width="12" style="53" customWidth="1"/>
    <col min="11781" max="11781" width="11.5703125" style="53" customWidth="1"/>
    <col min="11782" max="11782" width="27.5703125" style="53" customWidth="1"/>
    <col min="11783" max="11783" width="38.28515625" style="53" customWidth="1"/>
    <col min="11784" max="11784" width="11.7109375" style="53" customWidth="1"/>
    <col min="11785" max="11785" width="20.85546875" style="53" customWidth="1"/>
    <col min="11786" max="11786" width="18.42578125" style="53" customWidth="1"/>
    <col min="11787" max="11795" width="11.42578125" style="53" customWidth="1"/>
    <col min="11796" max="11796" width="11.7109375" style="53" customWidth="1"/>
    <col min="11797" max="11797" width="11.42578125" style="53" customWidth="1"/>
    <col min="11798" max="11798" width="11.7109375" style="53" customWidth="1"/>
    <col min="11799" max="11799" width="11.42578125" style="53" customWidth="1"/>
    <col min="11800" max="11800" width="11.7109375" style="53" customWidth="1"/>
    <col min="11801" max="11801" width="11.42578125" style="53" customWidth="1"/>
    <col min="11802" max="11802" width="11.7109375" style="53" customWidth="1"/>
    <col min="11803" max="11803" width="11.42578125" style="53" customWidth="1"/>
    <col min="11804" max="11804" width="11.7109375" style="53" customWidth="1"/>
    <col min="11805" max="11805" width="11.42578125" style="53" customWidth="1"/>
    <col min="11806" max="11806" width="11.7109375" style="53" customWidth="1"/>
    <col min="11807" max="11807" width="11.42578125" style="53" customWidth="1"/>
    <col min="11808" max="11808" width="18.85546875" style="53" customWidth="1"/>
    <col min="11809" max="11814" width="11.42578125" style="53" customWidth="1"/>
    <col min="11815" max="11815" width="14" style="53" customWidth="1"/>
    <col min="11816" max="11816" width="12" style="53" customWidth="1"/>
    <col min="11817" max="11817" width="14" style="53" customWidth="1"/>
    <col min="11818" max="11818" width="11" style="53" customWidth="1"/>
    <col min="11819" max="12032" width="11.42578125" style="53"/>
    <col min="12033" max="12033" width="12.85546875" style="53" customWidth="1"/>
    <col min="12034" max="12034" width="9.42578125" style="53" customWidth="1"/>
    <col min="12035" max="12035" width="7.85546875" style="53" customWidth="1"/>
    <col min="12036" max="12036" width="12" style="53" customWidth="1"/>
    <col min="12037" max="12037" width="11.5703125" style="53" customWidth="1"/>
    <col min="12038" max="12038" width="27.5703125" style="53" customWidth="1"/>
    <col min="12039" max="12039" width="38.28515625" style="53" customWidth="1"/>
    <col min="12040" max="12040" width="11.7109375" style="53" customWidth="1"/>
    <col min="12041" max="12041" width="20.85546875" style="53" customWidth="1"/>
    <col min="12042" max="12042" width="18.42578125" style="53" customWidth="1"/>
    <col min="12043" max="12051" width="11.42578125" style="53" customWidth="1"/>
    <col min="12052" max="12052" width="11.7109375" style="53" customWidth="1"/>
    <col min="12053" max="12053" width="11.42578125" style="53" customWidth="1"/>
    <col min="12054" max="12054" width="11.7109375" style="53" customWidth="1"/>
    <col min="12055" max="12055" width="11.42578125" style="53" customWidth="1"/>
    <col min="12056" max="12056" width="11.7109375" style="53" customWidth="1"/>
    <col min="12057" max="12057" width="11.42578125" style="53" customWidth="1"/>
    <col min="12058" max="12058" width="11.7109375" style="53" customWidth="1"/>
    <col min="12059" max="12059" width="11.42578125" style="53" customWidth="1"/>
    <col min="12060" max="12060" width="11.7109375" style="53" customWidth="1"/>
    <col min="12061" max="12061" width="11.42578125" style="53" customWidth="1"/>
    <col min="12062" max="12062" width="11.7109375" style="53" customWidth="1"/>
    <col min="12063" max="12063" width="11.42578125" style="53" customWidth="1"/>
    <col min="12064" max="12064" width="18.85546875" style="53" customWidth="1"/>
    <col min="12065" max="12070" width="11.42578125" style="53" customWidth="1"/>
    <col min="12071" max="12071" width="14" style="53" customWidth="1"/>
    <col min="12072" max="12072" width="12" style="53" customWidth="1"/>
    <col min="12073" max="12073" width="14" style="53" customWidth="1"/>
    <col min="12074" max="12074" width="11" style="53" customWidth="1"/>
    <col min="12075" max="12288" width="11.42578125" style="53"/>
    <col min="12289" max="12289" width="12.85546875" style="53" customWidth="1"/>
    <col min="12290" max="12290" width="9.42578125" style="53" customWidth="1"/>
    <col min="12291" max="12291" width="7.85546875" style="53" customWidth="1"/>
    <col min="12292" max="12292" width="12" style="53" customWidth="1"/>
    <col min="12293" max="12293" width="11.5703125" style="53" customWidth="1"/>
    <col min="12294" max="12294" width="27.5703125" style="53" customWidth="1"/>
    <col min="12295" max="12295" width="38.28515625" style="53" customWidth="1"/>
    <col min="12296" max="12296" width="11.7109375" style="53" customWidth="1"/>
    <col min="12297" max="12297" width="20.85546875" style="53" customWidth="1"/>
    <col min="12298" max="12298" width="18.42578125" style="53" customWidth="1"/>
    <col min="12299" max="12307" width="11.42578125" style="53" customWidth="1"/>
    <col min="12308" max="12308" width="11.7109375" style="53" customWidth="1"/>
    <col min="12309" max="12309" width="11.42578125" style="53" customWidth="1"/>
    <col min="12310" max="12310" width="11.7109375" style="53" customWidth="1"/>
    <col min="12311" max="12311" width="11.42578125" style="53" customWidth="1"/>
    <col min="12312" max="12312" width="11.7109375" style="53" customWidth="1"/>
    <col min="12313" max="12313" width="11.42578125" style="53" customWidth="1"/>
    <col min="12314" max="12314" width="11.7109375" style="53" customWidth="1"/>
    <col min="12315" max="12315" width="11.42578125" style="53" customWidth="1"/>
    <col min="12316" max="12316" width="11.7109375" style="53" customWidth="1"/>
    <col min="12317" max="12317" width="11.42578125" style="53" customWidth="1"/>
    <col min="12318" max="12318" width="11.7109375" style="53" customWidth="1"/>
    <col min="12319" max="12319" width="11.42578125" style="53" customWidth="1"/>
    <col min="12320" max="12320" width="18.85546875" style="53" customWidth="1"/>
    <col min="12321" max="12326" width="11.42578125" style="53" customWidth="1"/>
    <col min="12327" max="12327" width="14" style="53" customWidth="1"/>
    <col min="12328" max="12328" width="12" style="53" customWidth="1"/>
    <col min="12329" max="12329" width="14" style="53" customWidth="1"/>
    <col min="12330" max="12330" width="11" style="53" customWidth="1"/>
    <col min="12331" max="12544" width="11.42578125" style="53"/>
    <col min="12545" max="12545" width="12.85546875" style="53" customWidth="1"/>
    <col min="12546" max="12546" width="9.42578125" style="53" customWidth="1"/>
    <col min="12547" max="12547" width="7.85546875" style="53" customWidth="1"/>
    <col min="12548" max="12548" width="12" style="53" customWidth="1"/>
    <col min="12549" max="12549" width="11.5703125" style="53" customWidth="1"/>
    <col min="12550" max="12550" width="27.5703125" style="53" customWidth="1"/>
    <col min="12551" max="12551" width="38.28515625" style="53" customWidth="1"/>
    <col min="12552" max="12552" width="11.7109375" style="53" customWidth="1"/>
    <col min="12553" max="12553" width="20.85546875" style="53" customWidth="1"/>
    <col min="12554" max="12554" width="18.42578125" style="53" customWidth="1"/>
    <col min="12555" max="12563" width="11.42578125" style="53" customWidth="1"/>
    <col min="12564" max="12564" width="11.7109375" style="53" customWidth="1"/>
    <col min="12565" max="12565" width="11.42578125" style="53" customWidth="1"/>
    <col min="12566" max="12566" width="11.7109375" style="53" customWidth="1"/>
    <col min="12567" max="12567" width="11.42578125" style="53" customWidth="1"/>
    <col min="12568" max="12568" width="11.7109375" style="53" customWidth="1"/>
    <col min="12569" max="12569" width="11.42578125" style="53" customWidth="1"/>
    <col min="12570" max="12570" width="11.7109375" style="53" customWidth="1"/>
    <col min="12571" max="12571" width="11.42578125" style="53" customWidth="1"/>
    <col min="12572" max="12572" width="11.7109375" style="53" customWidth="1"/>
    <col min="12573" max="12573" width="11.42578125" style="53" customWidth="1"/>
    <col min="12574" max="12574" width="11.7109375" style="53" customWidth="1"/>
    <col min="12575" max="12575" width="11.42578125" style="53" customWidth="1"/>
    <col min="12576" max="12576" width="18.85546875" style="53" customWidth="1"/>
    <col min="12577" max="12582" width="11.42578125" style="53" customWidth="1"/>
    <col min="12583" max="12583" width="14" style="53" customWidth="1"/>
    <col min="12584" max="12584" width="12" style="53" customWidth="1"/>
    <col min="12585" max="12585" width="14" style="53" customWidth="1"/>
    <col min="12586" max="12586" width="11" style="53" customWidth="1"/>
    <col min="12587" max="12800" width="11.42578125" style="53"/>
    <col min="12801" max="12801" width="12.85546875" style="53" customWidth="1"/>
    <col min="12802" max="12802" width="9.42578125" style="53" customWidth="1"/>
    <col min="12803" max="12803" width="7.85546875" style="53" customWidth="1"/>
    <col min="12804" max="12804" width="12" style="53" customWidth="1"/>
    <col min="12805" max="12805" width="11.5703125" style="53" customWidth="1"/>
    <col min="12806" max="12806" width="27.5703125" style="53" customWidth="1"/>
    <col min="12807" max="12807" width="38.28515625" style="53" customWidth="1"/>
    <col min="12808" max="12808" width="11.7109375" style="53" customWidth="1"/>
    <col min="12809" max="12809" width="20.85546875" style="53" customWidth="1"/>
    <col min="12810" max="12810" width="18.42578125" style="53" customWidth="1"/>
    <col min="12811" max="12819" width="11.42578125" style="53" customWidth="1"/>
    <col min="12820" max="12820" width="11.7109375" style="53" customWidth="1"/>
    <col min="12821" max="12821" width="11.42578125" style="53" customWidth="1"/>
    <col min="12822" max="12822" width="11.7109375" style="53" customWidth="1"/>
    <col min="12823" max="12823" width="11.42578125" style="53" customWidth="1"/>
    <col min="12824" max="12824" width="11.7109375" style="53" customWidth="1"/>
    <col min="12825" max="12825" width="11.42578125" style="53" customWidth="1"/>
    <col min="12826" max="12826" width="11.7109375" style="53" customWidth="1"/>
    <col min="12827" max="12827" width="11.42578125" style="53" customWidth="1"/>
    <col min="12828" max="12828" width="11.7109375" style="53" customWidth="1"/>
    <col min="12829" max="12829" width="11.42578125" style="53" customWidth="1"/>
    <col min="12830" max="12830" width="11.7109375" style="53" customWidth="1"/>
    <col min="12831" max="12831" width="11.42578125" style="53" customWidth="1"/>
    <col min="12832" max="12832" width="18.85546875" style="53" customWidth="1"/>
    <col min="12833" max="12838" width="11.42578125" style="53" customWidth="1"/>
    <col min="12839" max="12839" width="14" style="53" customWidth="1"/>
    <col min="12840" max="12840" width="12" style="53" customWidth="1"/>
    <col min="12841" max="12841" width="14" style="53" customWidth="1"/>
    <col min="12842" max="12842" width="11" style="53" customWidth="1"/>
    <col min="12843" max="13056" width="11.42578125" style="53"/>
    <col min="13057" max="13057" width="12.85546875" style="53" customWidth="1"/>
    <col min="13058" max="13058" width="9.42578125" style="53" customWidth="1"/>
    <col min="13059" max="13059" width="7.85546875" style="53" customWidth="1"/>
    <col min="13060" max="13060" width="12" style="53" customWidth="1"/>
    <col min="13061" max="13061" width="11.5703125" style="53" customWidth="1"/>
    <col min="13062" max="13062" width="27.5703125" style="53" customWidth="1"/>
    <col min="13063" max="13063" width="38.28515625" style="53" customWidth="1"/>
    <col min="13064" max="13064" width="11.7109375" style="53" customWidth="1"/>
    <col min="13065" max="13065" width="20.85546875" style="53" customWidth="1"/>
    <col min="13066" max="13066" width="18.42578125" style="53" customWidth="1"/>
    <col min="13067" max="13075" width="11.42578125" style="53" customWidth="1"/>
    <col min="13076" max="13076" width="11.7109375" style="53" customWidth="1"/>
    <col min="13077" max="13077" width="11.42578125" style="53" customWidth="1"/>
    <col min="13078" max="13078" width="11.7109375" style="53" customWidth="1"/>
    <col min="13079" max="13079" width="11.42578125" style="53" customWidth="1"/>
    <col min="13080" max="13080" width="11.7109375" style="53" customWidth="1"/>
    <col min="13081" max="13081" width="11.42578125" style="53" customWidth="1"/>
    <col min="13082" max="13082" width="11.7109375" style="53" customWidth="1"/>
    <col min="13083" max="13083" width="11.42578125" style="53" customWidth="1"/>
    <col min="13084" max="13084" width="11.7109375" style="53" customWidth="1"/>
    <col min="13085" max="13085" width="11.42578125" style="53" customWidth="1"/>
    <col min="13086" max="13086" width="11.7109375" style="53" customWidth="1"/>
    <col min="13087" max="13087" width="11.42578125" style="53" customWidth="1"/>
    <col min="13088" max="13088" width="18.85546875" style="53" customWidth="1"/>
    <col min="13089" max="13094" width="11.42578125" style="53" customWidth="1"/>
    <col min="13095" max="13095" width="14" style="53" customWidth="1"/>
    <col min="13096" max="13096" width="12" style="53" customWidth="1"/>
    <col min="13097" max="13097" width="14" style="53" customWidth="1"/>
    <col min="13098" max="13098" width="11" style="53" customWidth="1"/>
    <col min="13099" max="13312" width="11.42578125" style="53"/>
    <col min="13313" max="13313" width="12.85546875" style="53" customWidth="1"/>
    <col min="13314" max="13314" width="9.42578125" style="53" customWidth="1"/>
    <col min="13315" max="13315" width="7.85546875" style="53" customWidth="1"/>
    <col min="13316" max="13316" width="12" style="53" customWidth="1"/>
    <col min="13317" max="13317" width="11.5703125" style="53" customWidth="1"/>
    <col min="13318" max="13318" width="27.5703125" style="53" customWidth="1"/>
    <col min="13319" max="13319" width="38.28515625" style="53" customWidth="1"/>
    <col min="13320" max="13320" width="11.7109375" style="53" customWidth="1"/>
    <col min="13321" max="13321" width="20.85546875" style="53" customWidth="1"/>
    <col min="13322" max="13322" width="18.42578125" style="53" customWidth="1"/>
    <col min="13323" max="13331" width="11.42578125" style="53" customWidth="1"/>
    <col min="13332" max="13332" width="11.7109375" style="53" customWidth="1"/>
    <col min="13333" max="13333" width="11.42578125" style="53" customWidth="1"/>
    <col min="13334" max="13334" width="11.7109375" style="53" customWidth="1"/>
    <col min="13335" max="13335" width="11.42578125" style="53" customWidth="1"/>
    <col min="13336" max="13336" width="11.7109375" style="53" customWidth="1"/>
    <col min="13337" max="13337" width="11.42578125" style="53" customWidth="1"/>
    <col min="13338" max="13338" width="11.7109375" style="53" customWidth="1"/>
    <col min="13339" max="13339" width="11.42578125" style="53" customWidth="1"/>
    <col min="13340" max="13340" width="11.7109375" style="53" customWidth="1"/>
    <col min="13341" max="13341" width="11.42578125" style="53" customWidth="1"/>
    <col min="13342" max="13342" width="11.7109375" style="53" customWidth="1"/>
    <col min="13343" max="13343" width="11.42578125" style="53" customWidth="1"/>
    <col min="13344" max="13344" width="18.85546875" style="53" customWidth="1"/>
    <col min="13345" max="13350" width="11.42578125" style="53" customWidth="1"/>
    <col min="13351" max="13351" width="14" style="53" customWidth="1"/>
    <col min="13352" max="13352" width="12" style="53" customWidth="1"/>
    <col min="13353" max="13353" width="14" style="53" customWidth="1"/>
    <col min="13354" max="13354" width="11" style="53" customWidth="1"/>
    <col min="13355" max="13568" width="11.42578125" style="53"/>
    <col min="13569" max="13569" width="12.85546875" style="53" customWidth="1"/>
    <col min="13570" max="13570" width="9.42578125" style="53" customWidth="1"/>
    <col min="13571" max="13571" width="7.85546875" style="53" customWidth="1"/>
    <col min="13572" max="13572" width="12" style="53" customWidth="1"/>
    <col min="13573" max="13573" width="11.5703125" style="53" customWidth="1"/>
    <col min="13574" max="13574" width="27.5703125" style="53" customWidth="1"/>
    <col min="13575" max="13575" width="38.28515625" style="53" customWidth="1"/>
    <col min="13576" max="13576" width="11.7109375" style="53" customWidth="1"/>
    <col min="13577" max="13577" width="20.85546875" style="53" customWidth="1"/>
    <col min="13578" max="13578" width="18.42578125" style="53" customWidth="1"/>
    <col min="13579" max="13587" width="11.42578125" style="53" customWidth="1"/>
    <col min="13588" max="13588" width="11.7109375" style="53" customWidth="1"/>
    <col min="13589" max="13589" width="11.42578125" style="53" customWidth="1"/>
    <col min="13590" max="13590" width="11.7109375" style="53" customWidth="1"/>
    <col min="13591" max="13591" width="11.42578125" style="53" customWidth="1"/>
    <col min="13592" max="13592" width="11.7109375" style="53" customWidth="1"/>
    <col min="13593" max="13593" width="11.42578125" style="53" customWidth="1"/>
    <col min="13594" max="13594" width="11.7109375" style="53" customWidth="1"/>
    <col min="13595" max="13595" width="11.42578125" style="53" customWidth="1"/>
    <col min="13596" max="13596" width="11.7109375" style="53" customWidth="1"/>
    <col min="13597" max="13597" width="11.42578125" style="53" customWidth="1"/>
    <col min="13598" max="13598" width="11.7109375" style="53" customWidth="1"/>
    <col min="13599" max="13599" width="11.42578125" style="53" customWidth="1"/>
    <col min="13600" max="13600" width="18.85546875" style="53" customWidth="1"/>
    <col min="13601" max="13606" width="11.42578125" style="53" customWidth="1"/>
    <col min="13607" max="13607" width="14" style="53" customWidth="1"/>
    <col min="13608" max="13608" width="12" style="53" customWidth="1"/>
    <col min="13609" max="13609" width="14" style="53" customWidth="1"/>
    <col min="13610" max="13610" width="11" style="53" customWidth="1"/>
    <col min="13611" max="13824" width="11.42578125" style="53"/>
    <col min="13825" max="13825" width="12.85546875" style="53" customWidth="1"/>
    <col min="13826" max="13826" width="9.42578125" style="53" customWidth="1"/>
    <col min="13827" max="13827" width="7.85546875" style="53" customWidth="1"/>
    <col min="13828" max="13828" width="12" style="53" customWidth="1"/>
    <col min="13829" max="13829" width="11.5703125" style="53" customWidth="1"/>
    <col min="13830" max="13830" width="27.5703125" style="53" customWidth="1"/>
    <col min="13831" max="13831" width="38.28515625" style="53" customWidth="1"/>
    <col min="13832" max="13832" width="11.7109375" style="53" customWidth="1"/>
    <col min="13833" max="13833" width="20.85546875" style="53" customWidth="1"/>
    <col min="13834" max="13834" width="18.42578125" style="53" customWidth="1"/>
    <col min="13835" max="13843" width="11.42578125" style="53" customWidth="1"/>
    <col min="13844" max="13844" width="11.7109375" style="53" customWidth="1"/>
    <col min="13845" max="13845" width="11.42578125" style="53" customWidth="1"/>
    <col min="13846" max="13846" width="11.7109375" style="53" customWidth="1"/>
    <col min="13847" max="13847" width="11.42578125" style="53" customWidth="1"/>
    <col min="13848" max="13848" width="11.7109375" style="53" customWidth="1"/>
    <col min="13849" max="13849" width="11.42578125" style="53" customWidth="1"/>
    <col min="13850" max="13850" width="11.7109375" style="53" customWidth="1"/>
    <col min="13851" max="13851" width="11.42578125" style="53" customWidth="1"/>
    <col min="13852" max="13852" width="11.7109375" style="53" customWidth="1"/>
    <col min="13853" max="13853" width="11.42578125" style="53" customWidth="1"/>
    <col min="13854" max="13854" width="11.7109375" style="53" customWidth="1"/>
    <col min="13855" max="13855" width="11.42578125" style="53" customWidth="1"/>
    <col min="13856" max="13856" width="18.85546875" style="53" customWidth="1"/>
    <col min="13857" max="13862" width="11.42578125" style="53" customWidth="1"/>
    <col min="13863" max="13863" width="14" style="53" customWidth="1"/>
    <col min="13864" max="13864" width="12" style="53" customWidth="1"/>
    <col min="13865" max="13865" width="14" style="53" customWidth="1"/>
    <col min="13866" max="13866" width="11" style="53" customWidth="1"/>
    <col min="13867" max="14080" width="11.42578125" style="53"/>
    <col min="14081" max="14081" width="12.85546875" style="53" customWidth="1"/>
    <col min="14082" max="14082" width="9.42578125" style="53" customWidth="1"/>
    <col min="14083" max="14083" width="7.85546875" style="53" customWidth="1"/>
    <col min="14084" max="14084" width="12" style="53" customWidth="1"/>
    <col min="14085" max="14085" width="11.5703125" style="53" customWidth="1"/>
    <col min="14086" max="14086" width="27.5703125" style="53" customWidth="1"/>
    <col min="14087" max="14087" width="38.28515625" style="53" customWidth="1"/>
    <col min="14088" max="14088" width="11.7109375" style="53" customWidth="1"/>
    <col min="14089" max="14089" width="20.85546875" style="53" customWidth="1"/>
    <col min="14090" max="14090" width="18.42578125" style="53" customWidth="1"/>
    <col min="14091" max="14099" width="11.42578125" style="53" customWidth="1"/>
    <col min="14100" max="14100" width="11.7109375" style="53" customWidth="1"/>
    <col min="14101" max="14101" width="11.42578125" style="53" customWidth="1"/>
    <col min="14102" max="14102" width="11.7109375" style="53" customWidth="1"/>
    <col min="14103" max="14103" width="11.42578125" style="53" customWidth="1"/>
    <col min="14104" max="14104" width="11.7109375" style="53" customWidth="1"/>
    <col min="14105" max="14105" width="11.42578125" style="53" customWidth="1"/>
    <col min="14106" max="14106" width="11.7109375" style="53" customWidth="1"/>
    <col min="14107" max="14107" width="11.42578125" style="53" customWidth="1"/>
    <col min="14108" max="14108" width="11.7109375" style="53" customWidth="1"/>
    <col min="14109" max="14109" width="11.42578125" style="53" customWidth="1"/>
    <col min="14110" max="14110" width="11.7109375" style="53" customWidth="1"/>
    <col min="14111" max="14111" width="11.42578125" style="53" customWidth="1"/>
    <col min="14112" max="14112" width="18.85546875" style="53" customWidth="1"/>
    <col min="14113" max="14118" width="11.42578125" style="53" customWidth="1"/>
    <col min="14119" max="14119" width="14" style="53" customWidth="1"/>
    <col min="14120" max="14120" width="12" style="53" customWidth="1"/>
    <col min="14121" max="14121" width="14" style="53" customWidth="1"/>
    <col min="14122" max="14122" width="11" style="53" customWidth="1"/>
    <col min="14123" max="14336" width="11.42578125" style="53"/>
    <col min="14337" max="14337" width="12.85546875" style="53" customWidth="1"/>
    <col min="14338" max="14338" width="9.42578125" style="53" customWidth="1"/>
    <col min="14339" max="14339" width="7.85546875" style="53" customWidth="1"/>
    <col min="14340" max="14340" width="12" style="53" customWidth="1"/>
    <col min="14341" max="14341" width="11.5703125" style="53" customWidth="1"/>
    <col min="14342" max="14342" width="27.5703125" style="53" customWidth="1"/>
    <col min="14343" max="14343" width="38.28515625" style="53" customWidth="1"/>
    <col min="14344" max="14344" width="11.7109375" style="53" customWidth="1"/>
    <col min="14345" max="14345" width="20.85546875" style="53" customWidth="1"/>
    <col min="14346" max="14346" width="18.42578125" style="53" customWidth="1"/>
    <col min="14347" max="14355" width="11.42578125" style="53" customWidth="1"/>
    <col min="14356" max="14356" width="11.7109375" style="53" customWidth="1"/>
    <col min="14357" max="14357" width="11.42578125" style="53" customWidth="1"/>
    <col min="14358" max="14358" width="11.7109375" style="53" customWidth="1"/>
    <col min="14359" max="14359" width="11.42578125" style="53" customWidth="1"/>
    <col min="14360" max="14360" width="11.7109375" style="53" customWidth="1"/>
    <col min="14361" max="14361" width="11.42578125" style="53" customWidth="1"/>
    <col min="14362" max="14362" width="11.7109375" style="53" customWidth="1"/>
    <col min="14363" max="14363" width="11.42578125" style="53" customWidth="1"/>
    <col min="14364" max="14364" width="11.7109375" style="53" customWidth="1"/>
    <col min="14365" max="14365" width="11.42578125" style="53" customWidth="1"/>
    <col min="14366" max="14366" width="11.7109375" style="53" customWidth="1"/>
    <col min="14367" max="14367" width="11.42578125" style="53" customWidth="1"/>
    <col min="14368" max="14368" width="18.85546875" style="53" customWidth="1"/>
    <col min="14369" max="14374" width="11.42578125" style="53" customWidth="1"/>
    <col min="14375" max="14375" width="14" style="53" customWidth="1"/>
    <col min="14376" max="14376" width="12" style="53" customWidth="1"/>
    <col min="14377" max="14377" width="14" style="53" customWidth="1"/>
    <col min="14378" max="14378" width="11" style="53" customWidth="1"/>
    <col min="14379" max="14592" width="11.42578125" style="53"/>
    <col min="14593" max="14593" width="12.85546875" style="53" customWidth="1"/>
    <col min="14594" max="14594" width="9.42578125" style="53" customWidth="1"/>
    <col min="14595" max="14595" width="7.85546875" style="53" customWidth="1"/>
    <col min="14596" max="14596" width="12" style="53" customWidth="1"/>
    <col min="14597" max="14597" width="11.5703125" style="53" customWidth="1"/>
    <col min="14598" max="14598" width="27.5703125" style="53" customWidth="1"/>
    <col min="14599" max="14599" width="38.28515625" style="53" customWidth="1"/>
    <col min="14600" max="14600" width="11.7109375" style="53" customWidth="1"/>
    <col min="14601" max="14601" width="20.85546875" style="53" customWidth="1"/>
    <col min="14602" max="14602" width="18.42578125" style="53" customWidth="1"/>
    <col min="14603" max="14611" width="11.42578125" style="53" customWidth="1"/>
    <col min="14612" max="14612" width="11.7109375" style="53" customWidth="1"/>
    <col min="14613" max="14613" width="11.42578125" style="53" customWidth="1"/>
    <col min="14614" max="14614" width="11.7109375" style="53" customWidth="1"/>
    <col min="14615" max="14615" width="11.42578125" style="53" customWidth="1"/>
    <col min="14616" max="14616" width="11.7109375" style="53" customWidth="1"/>
    <col min="14617" max="14617" width="11.42578125" style="53" customWidth="1"/>
    <col min="14618" max="14618" width="11.7109375" style="53" customWidth="1"/>
    <col min="14619" max="14619" width="11.42578125" style="53" customWidth="1"/>
    <col min="14620" max="14620" width="11.7109375" style="53" customWidth="1"/>
    <col min="14621" max="14621" width="11.42578125" style="53" customWidth="1"/>
    <col min="14622" max="14622" width="11.7109375" style="53" customWidth="1"/>
    <col min="14623" max="14623" width="11.42578125" style="53" customWidth="1"/>
    <col min="14624" max="14624" width="18.85546875" style="53" customWidth="1"/>
    <col min="14625" max="14630" width="11.42578125" style="53" customWidth="1"/>
    <col min="14631" max="14631" width="14" style="53" customWidth="1"/>
    <col min="14632" max="14632" width="12" style="53" customWidth="1"/>
    <col min="14633" max="14633" width="14" style="53" customWidth="1"/>
    <col min="14634" max="14634" width="11" style="53" customWidth="1"/>
    <col min="14635" max="14848" width="11.42578125" style="53"/>
    <col min="14849" max="14849" width="12.85546875" style="53" customWidth="1"/>
    <col min="14850" max="14850" width="9.42578125" style="53" customWidth="1"/>
    <col min="14851" max="14851" width="7.85546875" style="53" customWidth="1"/>
    <col min="14852" max="14852" width="12" style="53" customWidth="1"/>
    <col min="14853" max="14853" width="11.5703125" style="53" customWidth="1"/>
    <col min="14854" max="14854" width="27.5703125" style="53" customWidth="1"/>
    <col min="14855" max="14855" width="38.28515625" style="53" customWidth="1"/>
    <col min="14856" max="14856" width="11.7109375" style="53" customWidth="1"/>
    <col min="14857" max="14857" width="20.85546875" style="53" customWidth="1"/>
    <col min="14858" max="14858" width="18.42578125" style="53" customWidth="1"/>
    <col min="14859" max="14867" width="11.42578125" style="53" customWidth="1"/>
    <col min="14868" max="14868" width="11.7109375" style="53" customWidth="1"/>
    <col min="14869" max="14869" width="11.42578125" style="53" customWidth="1"/>
    <col min="14870" max="14870" width="11.7109375" style="53" customWidth="1"/>
    <col min="14871" max="14871" width="11.42578125" style="53" customWidth="1"/>
    <col min="14872" max="14872" width="11.7109375" style="53" customWidth="1"/>
    <col min="14873" max="14873" width="11.42578125" style="53" customWidth="1"/>
    <col min="14874" max="14874" width="11.7109375" style="53" customWidth="1"/>
    <col min="14875" max="14875" width="11.42578125" style="53" customWidth="1"/>
    <col min="14876" max="14876" width="11.7109375" style="53" customWidth="1"/>
    <col min="14877" max="14877" width="11.42578125" style="53" customWidth="1"/>
    <col min="14878" max="14878" width="11.7109375" style="53" customWidth="1"/>
    <col min="14879" max="14879" width="11.42578125" style="53" customWidth="1"/>
    <col min="14880" max="14880" width="18.85546875" style="53" customWidth="1"/>
    <col min="14881" max="14886" width="11.42578125" style="53" customWidth="1"/>
    <col min="14887" max="14887" width="14" style="53" customWidth="1"/>
    <col min="14888" max="14888" width="12" style="53" customWidth="1"/>
    <col min="14889" max="14889" width="14" style="53" customWidth="1"/>
    <col min="14890" max="14890" width="11" style="53" customWidth="1"/>
    <col min="14891" max="15104" width="11.42578125" style="53"/>
    <col min="15105" max="15105" width="12.85546875" style="53" customWidth="1"/>
    <col min="15106" max="15106" width="9.42578125" style="53" customWidth="1"/>
    <col min="15107" max="15107" width="7.85546875" style="53" customWidth="1"/>
    <col min="15108" max="15108" width="12" style="53" customWidth="1"/>
    <col min="15109" max="15109" width="11.5703125" style="53" customWidth="1"/>
    <col min="15110" max="15110" width="27.5703125" style="53" customWidth="1"/>
    <col min="15111" max="15111" width="38.28515625" style="53" customWidth="1"/>
    <col min="15112" max="15112" width="11.7109375" style="53" customWidth="1"/>
    <col min="15113" max="15113" width="20.85546875" style="53" customWidth="1"/>
    <col min="15114" max="15114" width="18.42578125" style="53" customWidth="1"/>
    <col min="15115" max="15123" width="11.42578125" style="53" customWidth="1"/>
    <col min="15124" max="15124" width="11.7109375" style="53" customWidth="1"/>
    <col min="15125" max="15125" width="11.42578125" style="53" customWidth="1"/>
    <col min="15126" max="15126" width="11.7109375" style="53" customWidth="1"/>
    <col min="15127" max="15127" width="11.42578125" style="53" customWidth="1"/>
    <col min="15128" max="15128" width="11.7109375" style="53" customWidth="1"/>
    <col min="15129" max="15129" width="11.42578125" style="53" customWidth="1"/>
    <col min="15130" max="15130" width="11.7109375" style="53" customWidth="1"/>
    <col min="15131" max="15131" width="11.42578125" style="53" customWidth="1"/>
    <col min="15132" max="15132" width="11.7109375" style="53" customWidth="1"/>
    <col min="15133" max="15133" width="11.42578125" style="53" customWidth="1"/>
    <col min="15134" max="15134" width="11.7109375" style="53" customWidth="1"/>
    <col min="15135" max="15135" width="11.42578125" style="53" customWidth="1"/>
    <col min="15136" max="15136" width="18.85546875" style="53" customWidth="1"/>
    <col min="15137" max="15142" width="11.42578125" style="53" customWidth="1"/>
    <col min="15143" max="15143" width="14" style="53" customWidth="1"/>
    <col min="15144" max="15144" width="12" style="53" customWidth="1"/>
    <col min="15145" max="15145" width="14" style="53" customWidth="1"/>
    <col min="15146" max="15146" width="11" style="53" customWidth="1"/>
    <col min="15147" max="15360" width="11.42578125" style="53"/>
    <col min="15361" max="15361" width="12.85546875" style="53" customWidth="1"/>
    <col min="15362" max="15362" width="9.42578125" style="53" customWidth="1"/>
    <col min="15363" max="15363" width="7.85546875" style="53" customWidth="1"/>
    <col min="15364" max="15364" width="12" style="53" customWidth="1"/>
    <col min="15365" max="15365" width="11.5703125" style="53" customWidth="1"/>
    <col min="15366" max="15366" width="27.5703125" style="53" customWidth="1"/>
    <col min="15367" max="15367" width="38.28515625" style="53" customWidth="1"/>
    <col min="15368" max="15368" width="11.7109375" style="53" customWidth="1"/>
    <col min="15369" max="15369" width="20.85546875" style="53" customWidth="1"/>
    <col min="15370" max="15370" width="18.42578125" style="53" customWidth="1"/>
    <col min="15371" max="15379" width="11.42578125" style="53" customWidth="1"/>
    <col min="15380" max="15380" width="11.7109375" style="53" customWidth="1"/>
    <col min="15381" max="15381" width="11.42578125" style="53" customWidth="1"/>
    <col min="15382" max="15382" width="11.7109375" style="53" customWidth="1"/>
    <col min="15383" max="15383" width="11.42578125" style="53" customWidth="1"/>
    <col min="15384" max="15384" width="11.7109375" style="53" customWidth="1"/>
    <col min="15385" max="15385" width="11.42578125" style="53" customWidth="1"/>
    <col min="15386" max="15386" width="11.7109375" style="53" customWidth="1"/>
    <col min="15387" max="15387" width="11.42578125" style="53" customWidth="1"/>
    <col min="15388" max="15388" width="11.7109375" style="53" customWidth="1"/>
    <col min="15389" max="15389" width="11.42578125" style="53" customWidth="1"/>
    <col min="15390" max="15390" width="11.7109375" style="53" customWidth="1"/>
    <col min="15391" max="15391" width="11.42578125" style="53" customWidth="1"/>
    <col min="15392" max="15392" width="18.85546875" style="53" customWidth="1"/>
    <col min="15393" max="15398" width="11.42578125" style="53" customWidth="1"/>
    <col min="15399" max="15399" width="14" style="53" customWidth="1"/>
    <col min="15400" max="15400" width="12" style="53" customWidth="1"/>
    <col min="15401" max="15401" width="14" style="53" customWidth="1"/>
    <col min="15402" max="15402" width="11" style="53" customWidth="1"/>
    <col min="15403" max="15616" width="11.42578125" style="53"/>
    <col min="15617" max="15617" width="12.85546875" style="53" customWidth="1"/>
    <col min="15618" max="15618" width="9.42578125" style="53" customWidth="1"/>
    <col min="15619" max="15619" width="7.85546875" style="53" customWidth="1"/>
    <col min="15620" max="15620" width="12" style="53" customWidth="1"/>
    <col min="15621" max="15621" width="11.5703125" style="53" customWidth="1"/>
    <col min="15622" max="15622" width="27.5703125" style="53" customWidth="1"/>
    <col min="15623" max="15623" width="38.28515625" style="53" customWidth="1"/>
    <col min="15624" max="15624" width="11.7109375" style="53" customWidth="1"/>
    <col min="15625" max="15625" width="20.85546875" style="53" customWidth="1"/>
    <col min="15626" max="15626" width="18.42578125" style="53" customWidth="1"/>
    <col min="15627" max="15635" width="11.42578125" style="53" customWidth="1"/>
    <col min="15636" max="15636" width="11.7109375" style="53" customWidth="1"/>
    <col min="15637" max="15637" width="11.42578125" style="53" customWidth="1"/>
    <col min="15638" max="15638" width="11.7109375" style="53" customWidth="1"/>
    <col min="15639" max="15639" width="11.42578125" style="53" customWidth="1"/>
    <col min="15640" max="15640" width="11.7109375" style="53" customWidth="1"/>
    <col min="15641" max="15641" width="11.42578125" style="53" customWidth="1"/>
    <col min="15642" max="15642" width="11.7109375" style="53" customWidth="1"/>
    <col min="15643" max="15643" width="11.42578125" style="53" customWidth="1"/>
    <col min="15644" max="15644" width="11.7109375" style="53" customWidth="1"/>
    <col min="15645" max="15645" width="11.42578125" style="53" customWidth="1"/>
    <col min="15646" max="15646" width="11.7109375" style="53" customWidth="1"/>
    <col min="15647" max="15647" width="11.42578125" style="53" customWidth="1"/>
    <col min="15648" max="15648" width="18.85546875" style="53" customWidth="1"/>
    <col min="15649" max="15654" width="11.42578125" style="53" customWidth="1"/>
    <col min="15655" max="15655" width="14" style="53" customWidth="1"/>
    <col min="15656" max="15656" width="12" style="53" customWidth="1"/>
    <col min="15657" max="15657" width="14" style="53" customWidth="1"/>
    <col min="15658" max="15658" width="11" style="53" customWidth="1"/>
    <col min="15659" max="15872" width="11.42578125" style="53"/>
    <col min="15873" max="15873" width="12.85546875" style="53" customWidth="1"/>
    <col min="15874" max="15874" width="9.42578125" style="53" customWidth="1"/>
    <col min="15875" max="15875" width="7.85546875" style="53" customWidth="1"/>
    <col min="15876" max="15876" width="12" style="53" customWidth="1"/>
    <col min="15877" max="15877" width="11.5703125" style="53" customWidth="1"/>
    <col min="15878" max="15878" width="27.5703125" style="53" customWidth="1"/>
    <col min="15879" max="15879" width="38.28515625" style="53" customWidth="1"/>
    <col min="15880" max="15880" width="11.7109375" style="53" customWidth="1"/>
    <col min="15881" max="15881" width="20.85546875" style="53" customWidth="1"/>
    <col min="15882" max="15882" width="18.42578125" style="53" customWidth="1"/>
    <col min="15883" max="15891" width="11.42578125" style="53" customWidth="1"/>
    <col min="15892" max="15892" width="11.7109375" style="53" customWidth="1"/>
    <col min="15893" max="15893" width="11.42578125" style="53" customWidth="1"/>
    <col min="15894" max="15894" width="11.7109375" style="53" customWidth="1"/>
    <col min="15895" max="15895" width="11.42578125" style="53" customWidth="1"/>
    <col min="15896" max="15896" width="11.7109375" style="53" customWidth="1"/>
    <col min="15897" max="15897" width="11.42578125" style="53" customWidth="1"/>
    <col min="15898" max="15898" width="11.7109375" style="53" customWidth="1"/>
    <col min="15899" max="15899" width="11.42578125" style="53" customWidth="1"/>
    <col min="15900" max="15900" width="11.7109375" style="53" customWidth="1"/>
    <col min="15901" max="15901" width="11.42578125" style="53" customWidth="1"/>
    <col min="15902" max="15902" width="11.7109375" style="53" customWidth="1"/>
    <col min="15903" max="15903" width="11.42578125" style="53" customWidth="1"/>
    <col min="15904" max="15904" width="18.85546875" style="53" customWidth="1"/>
    <col min="15905" max="15910" width="11.42578125" style="53" customWidth="1"/>
    <col min="15911" max="15911" width="14" style="53" customWidth="1"/>
    <col min="15912" max="15912" width="12" style="53" customWidth="1"/>
    <col min="15913" max="15913" width="14" style="53" customWidth="1"/>
    <col min="15914" max="15914" width="11" style="53" customWidth="1"/>
    <col min="15915" max="16128" width="11.42578125" style="53"/>
    <col min="16129" max="16129" width="12.85546875" style="53" customWidth="1"/>
    <col min="16130" max="16130" width="9.42578125" style="53" customWidth="1"/>
    <col min="16131" max="16131" width="7.85546875" style="53" customWidth="1"/>
    <col min="16132" max="16132" width="12" style="53" customWidth="1"/>
    <col min="16133" max="16133" width="11.5703125" style="53" customWidth="1"/>
    <col min="16134" max="16134" width="27.5703125" style="53" customWidth="1"/>
    <col min="16135" max="16135" width="38.28515625" style="53" customWidth="1"/>
    <col min="16136" max="16136" width="11.7109375" style="53" customWidth="1"/>
    <col min="16137" max="16137" width="20.85546875" style="53" customWidth="1"/>
    <col min="16138" max="16138" width="18.42578125" style="53" customWidth="1"/>
    <col min="16139" max="16147" width="11.42578125" style="53" customWidth="1"/>
    <col min="16148" max="16148" width="11.7109375" style="53" customWidth="1"/>
    <col min="16149" max="16149" width="11.42578125" style="53" customWidth="1"/>
    <col min="16150" max="16150" width="11.7109375" style="53" customWidth="1"/>
    <col min="16151" max="16151" width="11.42578125" style="53" customWidth="1"/>
    <col min="16152" max="16152" width="11.7109375" style="53" customWidth="1"/>
    <col min="16153" max="16153" width="11.42578125" style="53" customWidth="1"/>
    <col min="16154" max="16154" width="11.7109375" style="53" customWidth="1"/>
    <col min="16155" max="16155" width="11.42578125" style="53" customWidth="1"/>
    <col min="16156" max="16156" width="11.7109375" style="53" customWidth="1"/>
    <col min="16157" max="16157" width="11.42578125" style="53" customWidth="1"/>
    <col min="16158" max="16158" width="11.7109375" style="53" customWidth="1"/>
    <col min="16159" max="16159" width="11.42578125" style="53" customWidth="1"/>
    <col min="16160" max="16160" width="18.85546875" style="53" customWidth="1"/>
    <col min="16161" max="16166" width="11.42578125" style="53" customWidth="1"/>
    <col min="16167" max="16167" width="14" style="53" customWidth="1"/>
    <col min="16168" max="16168" width="12" style="53" customWidth="1"/>
    <col min="16169" max="16169" width="14" style="53" customWidth="1"/>
    <col min="16170" max="16170" width="11" style="53" customWidth="1"/>
    <col min="16171" max="16384" width="11.42578125" style="53"/>
  </cols>
  <sheetData>
    <row r="1" spans="1:57" x14ac:dyDescent="0.25">
      <c r="A1" s="747" t="s">
        <v>0</v>
      </c>
      <c r="B1" s="747" t="s">
        <v>0</v>
      </c>
      <c r="C1" s="741" t="s">
        <v>1</v>
      </c>
      <c r="D1" s="741" t="s">
        <v>2</v>
      </c>
      <c r="E1" s="741" t="s">
        <v>3</v>
      </c>
      <c r="F1" s="741" t="s">
        <v>4</v>
      </c>
      <c r="G1" s="741" t="s">
        <v>895</v>
      </c>
      <c r="H1" s="741" t="s">
        <v>7</v>
      </c>
      <c r="I1" s="741" t="s">
        <v>8</v>
      </c>
      <c r="J1" s="741" t="s">
        <v>9</v>
      </c>
      <c r="K1" s="372"/>
      <c r="L1" s="744" t="s">
        <v>10</v>
      </c>
      <c r="M1" s="744"/>
      <c r="N1" s="744"/>
      <c r="O1" s="744"/>
      <c r="P1" s="744"/>
      <c r="Q1" s="744"/>
      <c r="R1" s="744"/>
      <c r="S1" s="728" t="s">
        <v>896</v>
      </c>
      <c r="T1" s="745" t="s">
        <v>13</v>
      </c>
      <c r="U1" s="745"/>
      <c r="V1" s="745"/>
      <c r="W1" s="745"/>
      <c r="X1" s="745"/>
      <c r="Y1" s="745"/>
      <c r="Z1" s="745"/>
      <c r="AA1" s="745"/>
      <c r="AB1" s="750" t="s">
        <v>897</v>
      </c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752"/>
      <c r="AN1" s="753" t="s">
        <v>15</v>
      </c>
      <c r="AO1" s="754"/>
      <c r="AP1" s="755"/>
    </row>
    <row r="2" spans="1:57" ht="30" customHeight="1" x14ac:dyDescent="0.25">
      <c r="A2" s="748"/>
      <c r="B2" s="748"/>
      <c r="C2" s="742"/>
      <c r="D2" s="742"/>
      <c r="E2" s="742"/>
      <c r="F2" s="742"/>
      <c r="G2" s="742"/>
      <c r="H2" s="742"/>
      <c r="I2" s="742"/>
      <c r="J2" s="742"/>
      <c r="K2" s="745">
        <v>2012</v>
      </c>
      <c r="L2" s="745"/>
      <c r="M2" s="746">
        <v>2013</v>
      </c>
      <c r="N2" s="746"/>
      <c r="O2" s="745">
        <v>2014</v>
      </c>
      <c r="P2" s="745"/>
      <c r="Q2" s="745">
        <v>2015</v>
      </c>
      <c r="R2" s="745"/>
      <c r="S2" s="729"/>
      <c r="T2" s="745">
        <v>2012</v>
      </c>
      <c r="U2" s="745"/>
      <c r="V2" s="745">
        <v>2013</v>
      </c>
      <c r="W2" s="745"/>
      <c r="X2" s="745">
        <v>2014</v>
      </c>
      <c r="Y2" s="745"/>
      <c r="Z2" s="745">
        <v>2015</v>
      </c>
      <c r="AA2" s="745"/>
      <c r="AB2" s="744" t="s">
        <v>16</v>
      </c>
      <c r="AC2" s="744"/>
      <c r="AD2" s="759" t="s">
        <v>17</v>
      </c>
      <c r="AE2" s="760"/>
      <c r="AF2" s="761"/>
      <c r="AG2" s="744" t="s">
        <v>898</v>
      </c>
      <c r="AH2" s="744"/>
      <c r="AI2" s="762" t="s">
        <v>899</v>
      </c>
      <c r="AJ2" s="763"/>
      <c r="AK2" s="744" t="s">
        <v>20</v>
      </c>
      <c r="AL2" s="744"/>
      <c r="AM2" s="744"/>
      <c r="AN2" s="756"/>
      <c r="AO2" s="757"/>
      <c r="AP2" s="758"/>
    </row>
    <row r="3" spans="1:57" x14ac:dyDescent="0.25">
      <c r="A3" s="749"/>
      <c r="B3" s="749"/>
      <c r="C3" s="743"/>
      <c r="D3" s="743"/>
      <c r="E3" s="743"/>
      <c r="F3" s="743"/>
      <c r="G3" s="743"/>
      <c r="H3" s="742"/>
      <c r="I3" s="742"/>
      <c r="J3" s="742"/>
      <c r="K3" s="373" t="s">
        <v>900</v>
      </c>
      <c r="L3" s="373" t="s">
        <v>22</v>
      </c>
      <c r="M3" s="374" t="s">
        <v>900</v>
      </c>
      <c r="N3" s="374" t="s">
        <v>22</v>
      </c>
      <c r="O3" s="373" t="s">
        <v>900</v>
      </c>
      <c r="P3" s="373" t="s">
        <v>22</v>
      </c>
      <c r="Q3" s="373" t="s">
        <v>900</v>
      </c>
      <c r="R3" s="373" t="s">
        <v>22</v>
      </c>
      <c r="S3" s="730"/>
      <c r="T3" s="373" t="s">
        <v>23</v>
      </c>
      <c r="U3" s="373" t="s">
        <v>22</v>
      </c>
      <c r="V3" s="373" t="s">
        <v>23</v>
      </c>
      <c r="W3" s="373" t="s">
        <v>22</v>
      </c>
      <c r="X3" s="373" t="s">
        <v>23</v>
      </c>
      <c r="Y3" s="373" t="s">
        <v>22</v>
      </c>
      <c r="Z3" s="373" t="s">
        <v>23</v>
      </c>
      <c r="AA3" s="373" t="s">
        <v>22</v>
      </c>
      <c r="AB3" s="373" t="s">
        <v>23</v>
      </c>
      <c r="AC3" s="373" t="s">
        <v>22</v>
      </c>
      <c r="AD3" s="373" t="s">
        <v>23</v>
      </c>
      <c r="AE3" s="373" t="s">
        <v>22</v>
      </c>
      <c r="AF3" s="373" t="s">
        <v>24</v>
      </c>
      <c r="AG3" s="373"/>
      <c r="AH3" s="373"/>
      <c r="AI3" s="373" t="s">
        <v>23</v>
      </c>
      <c r="AJ3" s="373" t="s">
        <v>22</v>
      </c>
      <c r="AK3" s="375" t="s">
        <v>23</v>
      </c>
      <c r="AL3" s="375" t="s">
        <v>22</v>
      </c>
      <c r="AM3" s="375" t="s">
        <v>25</v>
      </c>
      <c r="AN3" s="372" t="s">
        <v>109</v>
      </c>
      <c r="AO3" s="372" t="s">
        <v>113</v>
      </c>
      <c r="AP3" s="372" t="s">
        <v>111</v>
      </c>
    </row>
    <row r="4" spans="1:57" ht="39.950000000000003" customHeight="1" x14ac:dyDescent="0.25">
      <c r="A4" s="731" t="s">
        <v>114</v>
      </c>
      <c r="B4" s="737" t="s">
        <v>901</v>
      </c>
      <c r="C4" s="731" t="s">
        <v>115</v>
      </c>
      <c r="D4" s="740" t="s">
        <v>116</v>
      </c>
      <c r="E4" s="740" t="s">
        <v>117</v>
      </c>
      <c r="F4" s="764" t="s">
        <v>385</v>
      </c>
      <c r="G4" s="348" t="s">
        <v>386</v>
      </c>
      <c r="H4" s="193" t="s">
        <v>440</v>
      </c>
      <c r="I4" s="193" t="s">
        <v>441</v>
      </c>
      <c r="J4" s="193" t="s">
        <v>442</v>
      </c>
      <c r="K4" s="194">
        <v>150</v>
      </c>
      <c r="L4" s="376">
        <f>+K4/600</f>
        <v>0.25</v>
      </c>
      <c r="M4" s="377">
        <v>300</v>
      </c>
      <c r="N4" s="376">
        <f>+M4/600</f>
        <v>0.5</v>
      </c>
      <c r="O4" s="194">
        <v>450</v>
      </c>
      <c r="P4" s="376">
        <f>+O4/600</f>
        <v>0.75</v>
      </c>
      <c r="Q4" s="194">
        <v>600</v>
      </c>
      <c r="R4" s="376">
        <f>+Q4/600</f>
        <v>1</v>
      </c>
      <c r="S4" s="378">
        <v>80000</v>
      </c>
      <c r="T4" s="378">
        <v>20000</v>
      </c>
      <c r="U4" s="376">
        <f>+T4/$S$4</f>
        <v>0.25</v>
      </c>
      <c r="V4" s="378">
        <v>20000</v>
      </c>
      <c r="W4" s="376">
        <f>+V4/$S$4</f>
        <v>0.25</v>
      </c>
      <c r="X4" s="378">
        <v>20000</v>
      </c>
      <c r="Y4" s="376">
        <f>+X4/$S$4</f>
        <v>0.25</v>
      </c>
      <c r="Z4" s="378">
        <v>20000</v>
      </c>
      <c r="AA4" s="376">
        <f>+Z4/$S$4</f>
        <v>0.25</v>
      </c>
      <c r="AB4" s="61"/>
      <c r="AC4" s="194"/>
      <c r="AD4" s="200">
        <v>80000</v>
      </c>
      <c r="AE4" s="379">
        <v>1</v>
      </c>
      <c r="AF4" s="194"/>
      <c r="AG4" s="194"/>
      <c r="AH4" s="194"/>
      <c r="AI4" s="194"/>
      <c r="AJ4" s="194"/>
      <c r="AK4" s="194"/>
      <c r="AL4" s="194"/>
      <c r="AM4" s="194"/>
      <c r="AN4" s="734" t="s">
        <v>902</v>
      </c>
      <c r="AO4" s="765" t="s">
        <v>901</v>
      </c>
      <c r="AP4" s="196" t="s">
        <v>903</v>
      </c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</row>
    <row r="5" spans="1:57" ht="25.5" x14ac:dyDescent="0.25">
      <c r="A5" s="732"/>
      <c r="B5" s="738"/>
      <c r="C5" s="732"/>
      <c r="D5" s="740"/>
      <c r="E5" s="740"/>
      <c r="F5" s="764"/>
      <c r="G5" s="348" t="s">
        <v>387</v>
      </c>
      <c r="H5" s="194">
        <v>0</v>
      </c>
      <c r="I5" s="195" t="s">
        <v>443</v>
      </c>
      <c r="J5" s="195" t="s">
        <v>444</v>
      </c>
      <c r="K5" s="194">
        <v>30</v>
      </c>
      <c r="L5" s="376">
        <f>+K5/120</f>
        <v>0.25</v>
      </c>
      <c r="M5" s="377">
        <v>60</v>
      </c>
      <c r="N5" s="376">
        <f>+M5/120</f>
        <v>0.5</v>
      </c>
      <c r="O5" s="377">
        <v>90</v>
      </c>
      <c r="P5" s="376">
        <f>+O5/120</f>
        <v>0.75</v>
      </c>
      <c r="Q5" s="377">
        <v>120</v>
      </c>
      <c r="R5" s="376">
        <f>+Q5/120</f>
        <v>1</v>
      </c>
      <c r="S5" s="378">
        <v>30000</v>
      </c>
      <c r="T5" s="378">
        <v>10000</v>
      </c>
      <c r="U5" s="376">
        <f>+T5/$S$5</f>
        <v>0.33333333333333331</v>
      </c>
      <c r="V5" s="200">
        <v>10000</v>
      </c>
      <c r="W5" s="376">
        <f>+V5/$S$5</f>
        <v>0.33333333333333331</v>
      </c>
      <c r="X5" s="194">
        <v>10000</v>
      </c>
      <c r="Y5" s="376">
        <f>+X5/$S$5</f>
        <v>0.33333333333333331</v>
      </c>
      <c r="Z5" s="194"/>
      <c r="AA5" s="194"/>
      <c r="AB5" s="61"/>
      <c r="AC5" s="194"/>
      <c r="AD5" s="200">
        <v>30000</v>
      </c>
      <c r="AE5" s="379">
        <v>1</v>
      </c>
      <c r="AF5" s="194"/>
      <c r="AG5" s="194"/>
      <c r="AH5" s="194"/>
      <c r="AI5" s="194"/>
      <c r="AJ5" s="194"/>
      <c r="AK5" s="194"/>
      <c r="AL5" s="194"/>
      <c r="AM5" s="194"/>
      <c r="AN5" s="735"/>
      <c r="AO5" s="766"/>
      <c r="AP5" s="196" t="s">
        <v>904</v>
      </c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</row>
    <row r="6" spans="1:57" ht="51" x14ac:dyDescent="0.25">
      <c r="A6" s="732"/>
      <c r="B6" s="738"/>
      <c r="C6" s="732"/>
      <c r="D6" s="740"/>
      <c r="E6" s="740"/>
      <c r="F6" s="348" t="s">
        <v>388</v>
      </c>
      <c r="G6" s="348" t="s">
        <v>389</v>
      </c>
      <c r="H6" s="193" t="s">
        <v>445</v>
      </c>
      <c r="I6" s="193" t="s">
        <v>446</v>
      </c>
      <c r="J6" s="193" t="s">
        <v>447</v>
      </c>
      <c r="K6" s="194">
        <v>2</v>
      </c>
      <c r="L6" s="376">
        <f>+K6/16</f>
        <v>0.125</v>
      </c>
      <c r="M6" s="377">
        <v>6</v>
      </c>
      <c r="N6" s="376">
        <f>+M6/16</f>
        <v>0.375</v>
      </c>
      <c r="O6" s="194">
        <v>12</v>
      </c>
      <c r="P6" s="376">
        <f>+O6/16</f>
        <v>0.75</v>
      </c>
      <c r="Q6" s="194">
        <v>16</v>
      </c>
      <c r="R6" s="376">
        <f>+Q6/16</f>
        <v>1</v>
      </c>
      <c r="S6" s="378">
        <v>320000</v>
      </c>
      <c r="T6" s="378">
        <f>+S6*13%</f>
        <v>41600</v>
      </c>
      <c r="U6" s="376">
        <f>+T6/S6</f>
        <v>0.13</v>
      </c>
      <c r="V6" s="378">
        <v>83200</v>
      </c>
      <c r="W6" s="376">
        <f>+V6/$S$6</f>
        <v>0.26</v>
      </c>
      <c r="X6" s="378">
        <f>46%*S6</f>
        <v>147200</v>
      </c>
      <c r="Y6" s="379">
        <v>0.46</v>
      </c>
      <c r="Z6" s="378">
        <v>48000</v>
      </c>
      <c r="AA6" s="379">
        <v>0.15</v>
      </c>
      <c r="AB6" s="61"/>
      <c r="AC6" s="194"/>
      <c r="AD6" s="200">
        <v>320000</v>
      </c>
      <c r="AE6" s="379">
        <v>1</v>
      </c>
      <c r="AF6" s="194"/>
      <c r="AG6" s="194"/>
      <c r="AH6" s="194"/>
      <c r="AI6" s="194"/>
      <c r="AJ6" s="194"/>
      <c r="AK6" s="194"/>
      <c r="AL6" s="194"/>
      <c r="AM6" s="194"/>
      <c r="AN6" s="735"/>
      <c r="AO6" s="766"/>
      <c r="AP6" s="194" t="s">
        <v>904</v>
      </c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</row>
    <row r="7" spans="1:57" ht="29.25" customHeight="1" x14ac:dyDescent="0.25">
      <c r="A7" s="732"/>
      <c r="B7" s="738"/>
      <c r="C7" s="732"/>
      <c r="D7" s="740"/>
      <c r="E7" s="740"/>
      <c r="F7" s="348"/>
      <c r="G7" s="348"/>
      <c r="H7" s="768">
        <v>0</v>
      </c>
      <c r="I7" s="770" t="s">
        <v>448</v>
      </c>
      <c r="J7" s="190" t="s">
        <v>905</v>
      </c>
      <c r="K7" s="194"/>
      <c r="L7" s="376">
        <f>+K7/1</f>
        <v>0</v>
      </c>
      <c r="M7" s="377">
        <v>1</v>
      </c>
      <c r="N7" s="381">
        <v>1</v>
      </c>
      <c r="O7" s="194"/>
      <c r="P7" s="194"/>
      <c r="Q7" s="194"/>
      <c r="R7" s="194"/>
      <c r="S7" s="772">
        <v>100000</v>
      </c>
      <c r="T7" s="772">
        <v>0</v>
      </c>
      <c r="U7" s="774">
        <v>0</v>
      </c>
      <c r="V7" s="772">
        <v>100000</v>
      </c>
      <c r="W7" s="774">
        <v>1</v>
      </c>
      <c r="X7" s="772"/>
      <c r="Y7" s="772"/>
      <c r="Z7" s="772"/>
      <c r="AA7" s="772"/>
      <c r="AB7" s="772"/>
      <c r="AC7" s="772"/>
      <c r="AD7" s="772">
        <v>100000</v>
      </c>
      <c r="AE7" s="774">
        <v>1</v>
      </c>
      <c r="AF7" s="772"/>
      <c r="AG7" s="382"/>
      <c r="AH7" s="382"/>
      <c r="AI7" s="772"/>
      <c r="AJ7" s="772"/>
      <c r="AK7" s="772"/>
      <c r="AL7" s="772"/>
      <c r="AM7" s="772"/>
      <c r="AN7" s="735"/>
      <c r="AO7" s="766"/>
      <c r="AP7" s="194" t="s">
        <v>904</v>
      </c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</row>
    <row r="8" spans="1:57" ht="38.25" customHeight="1" x14ac:dyDescent="0.25">
      <c r="A8" s="732"/>
      <c r="B8" s="738"/>
      <c r="C8" s="732"/>
      <c r="D8" s="740"/>
      <c r="E8" s="740"/>
      <c r="F8" s="190" t="s">
        <v>390</v>
      </c>
      <c r="G8" s="348" t="s">
        <v>391</v>
      </c>
      <c r="H8" s="769"/>
      <c r="I8" s="771"/>
      <c r="J8" s="190" t="s">
        <v>906</v>
      </c>
      <c r="K8" s="193">
        <v>11</v>
      </c>
      <c r="L8" s="376">
        <f>+K8/44</f>
        <v>0.25</v>
      </c>
      <c r="M8" s="195">
        <v>22</v>
      </c>
      <c r="N8" s="376">
        <f>+M8/44</f>
        <v>0.5</v>
      </c>
      <c r="O8" s="193">
        <v>33</v>
      </c>
      <c r="P8" s="376">
        <f>+O8/44</f>
        <v>0.75</v>
      </c>
      <c r="Q8" s="193">
        <v>44</v>
      </c>
      <c r="R8" s="376">
        <f>+Q8/44</f>
        <v>1</v>
      </c>
      <c r="S8" s="773"/>
      <c r="T8" s="773"/>
      <c r="U8" s="773"/>
      <c r="V8" s="773"/>
      <c r="W8" s="773"/>
      <c r="X8" s="773"/>
      <c r="Y8" s="773"/>
      <c r="Z8" s="773"/>
      <c r="AA8" s="773"/>
      <c r="AB8" s="773"/>
      <c r="AC8" s="773"/>
      <c r="AD8" s="773"/>
      <c r="AE8" s="773"/>
      <c r="AF8" s="773"/>
      <c r="AG8" s="383"/>
      <c r="AH8" s="383"/>
      <c r="AI8" s="773"/>
      <c r="AJ8" s="773"/>
      <c r="AK8" s="773"/>
      <c r="AL8" s="773"/>
      <c r="AM8" s="773"/>
      <c r="AN8" s="736"/>
      <c r="AO8" s="766"/>
      <c r="AP8" s="193" t="s">
        <v>907</v>
      </c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</row>
    <row r="9" spans="1:57" ht="38.25" customHeight="1" x14ac:dyDescent="0.25">
      <c r="A9" s="732"/>
      <c r="B9" s="738"/>
      <c r="C9" s="732"/>
      <c r="D9" s="740"/>
      <c r="E9" s="734" t="s">
        <v>118</v>
      </c>
      <c r="F9" s="349" t="s">
        <v>392</v>
      </c>
      <c r="G9" s="191" t="s">
        <v>393</v>
      </c>
      <c r="H9" s="193" t="s">
        <v>908</v>
      </c>
      <c r="I9" s="193" t="s">
        <v>449</v>
      </c>
      <c r="J9" s="193" t="s">
        <v>450</v>
      </c>
      <c r="K9" s="193">
        <v>60</v>
      </c>
      <c r="L9" s="376">
        <f>+K9/240</f>
        <v>0.25</v>
      </c>
      <c r="M9" s="195">
        <v>120</v>
      </c>
      <c r="N9" s="376">
        <f>+M9/240</f>
        <v>0.5</v>
      </c>
      <c r="O9" s="193">
        <v>180</v>
      </c>
      <c r="P9" s="376">
        <f>+O9/240</f>
        <v>0.75</v>
      </c>
      <c r="Q9" s="194">
        <v>240</v>
      </c>
      <c r="R9" s="376">
        <f>+Q9/240</f>
        <v>1</v>
      </c>
      <c r="S9" s="378">
        <v>30000</v>
      </c>
      <c r="T9" s="378">
        <v>7500</v>
      </c>
      <c r="U9" s="384">
        <v>0.25</v>
      </c>
      <c r="V9" s="378">
        <v>7500</v>
      </c>
      <c r="W9" s="379">
        <v>0.25</v>
      </c>
      <c r="X9" s="378">
        <v>7500</v>
      </c>
      <c r="Y9" s="379">
        <v>0.25</v>
      </c>
      <c r="Z9" s="378">
        <v>7500</v>
      </c>
      <c r="AA9" s="379">
        <v>0.25</v>
      </c>
      <c r="AB9" s="61"/>
      <c r="AC9" s="194"/>
      <c r="AD9" s="200">
        <v>30000</v>
      </c>
      <c r="AE9" s="379">
        <v>1</v>
      </c>
      <c r="AF9" s="194"/>
      <c r="AG9" s="194"/>
      <c r="AH9" s="194"/>
      <c r="AI9" s="194"/>
      <c r="AJ9" s="194"/>
      <c r="AK9" s="194"/>
      <c r="AL9" s="194"/>
      <c r="AM9" s="194"/>
      <c r="AN9" s="734" t="s">
        <v>909</v>
      </c>
      <c r="AO9" s="766"/>
      <c r="AP9" s="193" t="s">
        <v>910</v>
      </c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</row>
    <row r="10" spans="1:57" ht="51" x14ac:dyDescent="0.25">
      <c r="A10" s="732"/>
      <c r="B10" s="738"/>
      <c r="C10" s="732"/>
      <c r="D10" s="740"/>
      <c r="E10" s="735"/>
      <c r="F10" s="190" t="s">
        <v>394</v>
      </c>
      <c r="G10" s="190" t="s">
        <v>395</v>
      </c>
      <c r="H10" s="193" t="s">
        <v>451</v>
      </c>
      <c r="I10" s="197" t="s">
        <v>453</v>
      </c>
      <c r="J10" s="197" t="s">
        <v>911</v>
      </c>
      <c r="K10" s="194">
        <v>90</v>
      </c>
      <c r="L10" s="376">
        <f>+K10/360</f>
        <v>0.25</v>
      </c>
      <c r="M10" s="195">
        <v>180</v>
      </c>
      <c r="N10" s="376">
        <f>+M10/360</f>
        <v>0.5</v>
      </c>
      <c r="O10" s="193">
        <v>270</v>
      </c>
      <c r="P10" s="376">
        <f>+O10/360</f>
        <v>0.75</v>
      </c>
      <c r="Q10" s="193">
        <v>360</v>
      </c>
      <c r="R10" s="376">
        <f>+Q10/360</f>
        <v>1</v>
      </c>
      <c r="S10" s="378">
        <v>40000</v>
      </c>
      <c r="T10" s="200">
        <v>10000</v>
      </c>
      <c r="U10" s="379">
        <v>0.25</v>
      </c>
      <c r="V10" s="200">
        <v>10000</v>
      </c>
      <c r="W10" s="379">
        <v>0.25</v>
      </c>
      <c r="X10" s="200">
        <v>10000</v>
      </c>
      <c r="Y10" s="379">
        <v>0.25</v>
      </c>
      <c r="Z10" s="200">
        <v>10000</v>
      </c>
      <c r="AA10" s="194">
        <v>0.25</v>
      </c>
      <c r="AB10" s="61"/>
      <c r="AC10" s="194"/>
      <c r="AD10" s="200">
        <v>40000</v>
      </c>
      <c r="AE10" s="194">
        <v>1005</v>
      </c>
      <c r="AF10" s="194"/>
      <c r="AG10" s="194"/>
      <c r="AH10" s="194"/>
      <c r="AI10" s="194"/>
      <c r="AJ10" s="194"/>
      <c r="AK10" s="194"/>
      <c r="AL10" s="194"/>
      <c r="AM10" s="194"/>
      <c r="AN10" s="735"/>
      <c r="AO10" s="766"/>
      <c r="AP10" s="193" t="s">
        <v>910</v>
      </c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</row>
    <row r="11" spans="1:57" ht="51" x14ac:dyDescent="0.25">
      <c r="A11" s="732"/>
      <c r="B11" s="738"/>
      <c r="C11" s="732"/>
      <c r="D11" s="740"/>
      <c r="E11" s="735"/>
      <c r="F11" s="190" t="s">
        <v>396</v>
      </c>
      <c r="G11" s="348" t="s">
        <v>397</v>
      </c>
      <c r="H11" s="195" t="s">
        <v>452</v>
      </c>
      <c r="I11" s="195" t="s">
        <v>453</v>
      </c>
      <c r="J11" s="197" t="s">
        <v>454</v>
      </c>
      <c r="K11" s="194">
        <v>90</v>
      </c>
      <c r="L11" s="376">
        <f>+K11/360</f>
        <v>0.25</v>
      </c>
      <c r="M11" s="377">
        <v>180</v>
      </c>
      <c r="N11" s="376">
        <f>+M11/360</f>
        <v>0.5</v>
      </c>
      <c r="O11" s="194">
        <v>270</v>
      </c>
      <c r="P11" s="376">
        <f>+O11/360</f>
        <v>0.75</v>
      </c>
      <c r="Q11" s="194">
        <v>360</v>
      </c>
      <c r="R11" s="376">
        <f>+Q11/360</f>
        <v>1</v>
      </c>
      <c r="S11" s="378">
        <v>40000</v>
      </c>
      <c r="T11" s="200">
        <v>10000</v>
      </c>
      <c r="U11" s="379">
        <v>0.25</v>
      </c>
      <c r="V11" s="200">
        <v>10000</v>
      </c>
      <c r="W11" s="379">
        <v>0.25</v>
      </c>
      <c r="X11" s="200">
        <v>10000</v>
      </c>
      <c r="Y11" s="379">
        <v>0.25</v>
      </c>
      <c r="Z11" s="200">
        <v>10000</v>
      </c>
      <c r="AA11" s="379">
        <v>0.25</v>
      </c>
      <c r="AB11" s="61"/>
      <c r="AC11" s="194"/>
      <c r="AD11" s="200">
        <v>40000</v>
      </c>
      <c r="AE11" s="194">
        <v>1005</v>
      </c>
      <c r="AF11" s="194"/>
      <c r="AG11" s="194"/>
      <c r="AH11" s="194"/>
      <c r="AI11" s="194"/>
      <c r="AJ11" s="194"/>
      <c r="AK11" s="194"/>
      <c r="AL11" s="194"/>
      <c r="AM11" s="194"/>
      <c r="AN11" s="735"/>
      <c r="AO11" s="766"/>
      <c r="AP11" s="193" t="s">
        <v>910</v>
      </c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</row>
    <row r="12" spans="1:57" ht="51" x14ac:dyDescent="0.25">
      <c r="A12" s="732"/>
      <c r="B12" s="738"/>
      <c r="C12" s="732"/>
      <c r="D12" s="740"/>
      <c r="E12" s="735"/>
      <c r="F12" s="348" t="s">
        <v>398</v>
      </c>
      <c r="G12" s="190" t="s">
        <v>399</v>
      </c>
      <c r="H12" s="193">
        <v>0</v>
      </c>
      <c r="I12" s="197" t="s">
        <v>912</v>
      </c>
      <c r="J12" s="197" t="s">
        <v>913</v>
      </c>
      <c r="K12" s="193">
        <v>0</v>
      </c>
      <c r="L12" s="376">
        <f>+K12/4</f>
        <v>0</v>
      </c>
      <c r="M12" s="195">
        <v>2</v>
      </c>
      <c r="N12" s="376">
        <f>+M12/4</f>
        <v>0.5</v>
      </c>
      <c r="O12" s="193">
        <v>3</v>
      </c>
      <c r="P12" s="376">
        <f>+O12/4</f>
        <v>0.75</v>
      </c>
      <c r="Q12" s="193">
        <v>4</v>
      </c>
      <c r="R12" s="376">
        <f>+Q12/4</f>
        <v>1</v>
      </c>
      <c r="S12" s="378">
        <v>60000</v>
      </c>
      <c r="T12" s="200">
        <v>0</v>
      </c>
      <c r="U12" s="379">
        <v>0</v>
      </c>
      <c r="V12" s="200">
        <v>30000</v>
      </c>
      <c r="W12" s="379">
        <v>0.5</v>
      </c>
      <c r="X12" s="200">
        <v>15000</v>
      </c>
      <c r="Y12" s="379">
        <v>0.25</v>
      </c>
      <c r="Z12" s="200">
        <v>15000</v>
      </c>
      <c r="AA12" s="379">
        <v>0.25</v>
      </c>
      <c r="AB12" s="61"/>
      <c r="AC12" s="194"/>
      <c r="AD12" s="200">
        <v>60000</v>
      </c>
      <c r="AE12" s="379">
        <v>1</v>
      </c>
      <c r="AF12" s="194"/>
      <c r="AG12" s="194"/>
      <c r="AH12" s="194"/>
      <c r="AI12" s="194"/>
      <c r="AJ12" s="194"/>
      <c r="AK12" s="194"/>
      <c r="AL12" s="194"/>
      <c r="AM12" s="194"/>
      <c r="AN12" s="735"/>
      <c r="AO12" s="766"/>
      <c r="AP12" s="193" t="s">
        <v>910</v>
      </c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</row>
    <row r="13" spans="1:57" ht="51" x14ac:dyDescent="0.25">
      <c r="A13" s="732"/>
      <c r="B13" s="738"/>
      <c r="C13" s="732"/>
      <c r="D13" s="740"/>
      <c r="E13" s="736"/>
      <c r="F13" s="190" t="s">
        <v>400</v>
      </c>
      <c r="G13" s="190" t="s">
        <v>401</v>
      </c>
      <c r="H13" s="193" t="s">
        <v>455</v>
      </c>
      <c r="I13" s="197" t="s">
        <v>456</v>
      </c>
      <c r="J13" s="197" t="s">
        <v>457</v>
      </c>
      <c r="K13" s="194">
        <v>0</v>
      </c>
      <c r="L13" s="376">
        <f>+K13/80</f>
        <v>0</v>
      </c>
      <c r="M13" s="377">
        <v>40</v>
      </c>
      <c r="N13" s="376">
        <f>+M13/80</f>
        <v>0.5</v>
      </c>
      <c r="O13" s="194">
        <v>60</v>
      </c>
      <c r="P13" s="376">
        <f>+O13/80</f>
        <v>0.75</v>
      </c>
      <c r="Q13" s="194">
        <v>80</v>
      </c>
      <c r="R13" s="376">
        <f>+Q13/80</f>
        <v>1</v>
      </c>
      <c r="S13" s="378">
        <v>120000</v>
      </c>
      <c r="T13" s="194">
        <v>0</v>
      </c>
      <c r="U13" s="379">
        <v>0</v>
      </c>
      <c r="V13" s="194">
        <v>60000</v>
      </c>
      <c r="W13" s="379">
        <v>0.5</v>
      </c>
      <c r="X13" s="194">
        <v>30000</v>
      </c>
      <c r="Y13" s="379">
        <v>0.25</v>
      </c>
      <c r="Z13" s="194">
        <v>30000</v>
      </c>
      <c r="AA13" s="379">
        <v>0.25</v>
      </c>
      <c r="AB13" s="61"/>
      <c r="AC13" s="194"/>
      <c r="AD13" s="385">
        <v>120000</v>
      </c>
      <c r="AE13" s="379">
        <v>1</v>
      </c>
      <c r="AF13" s="194"/>
      <c r="AG13" s="194"/>
      <c r="AH13" s="194"/>
      <c r="AI13" s="194"/>
      <c r="AJ13" s="194"/>
      <c r="AK13" s="194"/>
      <c r="AL13" s="194"/>
      <c r="AM13" s="194"/>
      <c r="AN13" s="735"/>
      <c r="AO13" s="766"/>
      <c r="AP13" s="193" t="s">
        <v>910</v>
      </c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</row>
    <row r="14" spans="1:57" ht="76.5" x14ac:dyDescent="0.25">
      <c r="A14" s="732"/>
      <c r="B14" s="738"/>
      <c r="C14" s="732"/>
      <c r="D14" s="734" t="s">
        <v>119</v>
      </c>
      <c r="E14" s="734" t="s">
        <v>120</v>
      </c>
      <c r="F14" s="348" t="s">
        <v>402</v>
      </c>
      <c r="G14" s="190" t="s">
        <v>403</v>
      </c>
      <c r="H14" s="194">
        <v>0</v>
      </c>
      <c r="I14" s="197" t="s">
        <v>458</v>
      </c>
      <c r="J14" s="197" t="s">
        <v>459</v>
      </c>
      <c r="K14" s="194">
        <v>0</v>
      </c>
      <c r="L14" s="376">
        <f>+K14/30</f>
        <v>0</v>
      </c>
      <c r="M14" s="377">
        <v>10</v>
      </c>
      <c r="N14" s="376">
        <f>+M14/30</f>
        <v>0.33333333333333331</v>
      </c>
      <c r="O14" s="194">
        <v>20</v>
      </c>
      <c r="P14" s="376">
        <f>+O14/30</f>
        <v>0.66666666666666663</v>
      </c>
      <c r="Q14" s="194">
        <v>30</v>
      </c>
      <c r="R14" s="376">
        <f>+Q14/30</f>
        <v>1</v>
      </c>
      <c r="S14" s="378">
        <v>800000</v>
      </c>
      <c r="T14" s="194">
        <v>0</v>
      </c>
      <c r="U14" s="379">
        <v>0</v>
      </c>
      <c r="V14" s="194">
        <v>267000</v>
      </c>
      <c r="W14" s="379">
        <v>0.33</v>
      </c>
      <c r="X14" s="194">
        <v>267000</v>
      </c>
      <c r="Y14" s="379">
        <v>0.33</v>
      </c>
      <c r="Z14" s="194">
        <v>266000</v>
      </c>
      <c r="AA14" s="379">
        <v>0.33</v>
      </c>
      <c r="AB14" s="61"/>
      <c r="AC14" s="194"/>
      <c r="AD14" s="194">
        <v>800000</v>
      </c>
      <c r="AE14" s="379">
        <v>1</v>
      </c>
      <c r="AF14" s="194"/>
      <c r="AG14" s="194"/>
      <c r="AH14" s="194"/>
      <c r="AI14" s="194"/>
      <c r="AJ14" s="194"/>
      <c r="AK14" s="194"/>
      <c r="AL14" s="194"/>
      <c r="AM14" s="194"/>
      <c r="AN14" s="735"/>
      <c r="AO14" s="766"/>
      <c r="AP14" s="193" t="s">
        <v>910</v>
      </c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</row>
    <row r="15" spans="1:57" ht="51" x14ac:dyDescent="0.25">
      <c r="A15" s="732"/>
      <c r="B15" s="738"/>
      <c r="C15" s="732"/>
      <c r="D15" s="735"/>
      <c r="E15" s="735"/>
      <c r="F15" s="348" t="s">
        <v>404</v>
      </c>
      <c r="G15" s="190" t="s">
        <v>405</v>
      </c>
      <c r="H15" s="194">
        <v>240</v>
      </c>
      <c r="I15" s="193" t="s">
        <v>460</v>
      </c>
      <c r="J15" s="193" t="s">
        <v>461</v>
      </c>
      <c r="K15" s="193">
        <v>145</v>
      </c>
      <c r="L15" s="376">
        <f>+K15/580</f>
        <v>0.25</v>
      </c>
      <c r="M15" s="195">
        <v>290</v>
      </c>
      <c r="N15" s="376">
        <f>+M15/580</f>
        <v>0.5</v>
      </c>
      <c r="O15" s="193">
        <v>435</v>
      </c>
      <c r="P15" s="376">
        <f>+O15/580</f>
        <v>0.75</v>
      </c>
      <c r="Q15" s="193">
        <v>580</v>
      </c>
      <c r="R15" s="376">
        <f>+Q15/580</f>
        <v>1</v>
      </c>
      <c r="S15" s="378">
        <v>80000</v>
      </c>
      <c r="T15" s="200">
        <v>20000</v>
      </c>
      <c r="U15" s="379">
        <v>0.25</v>
      </c>
      <c r="V15" s="200">
        <v>20000</v>
      </c>
      <c r="W15" s="379">
        <v>0.25</v>
      </c>
      <c r="X15" s="200">
        <v>20000</v>
      </c>
      <c r="Y15" s="379">
        <v>0.25</v>
      </c>
      <c r="Z15" s="200">
        <v>20000</v>
      </c>
      <c r="AA15" s="379">
        <v>0.25</v>
      </c>
      <c r="AB15" s="61"/>
      <c r="AC15" s="194"/>
      <c r="AD15" s="378">
        <v>80000</v>
      </c>
      <c r="AE15" s="379">
        <v>1</v>
      </c>
      <c r="AF15" s="194"/>
      <c r="AG15" s="194"/>
      <c r="AH15" s="194"/>
      <c r="AI15" s="194"/>
      <c r="AJ15" s="194"/>
      <c r="AK15" s="194"/>
      <c r="AL15" s="194"/>
      <c r="AM15" s="194"/>
      <c r="AN15" s="735"/>
      <c r="AO15" s="766"/>
      <c r="AP15" s="194" t="s">
        <v>904</v>
      </c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</row>
    <row r="16" spans="1:57" ht="51" x14ac:dyDescent="0.25">
      <c r="A16" s="732"/>
      <c r="B16" s="738"/>
      <c r="C16" s="732"/>
      <c r="D16" s="735"/>
      <c r="E16" s="735"/>
      <c r="F16" s="190" t="s">
        <v>406</v>
      </c>
      <c r="G16" s="190" t="s">
        <v>407</v>
      </c>
      <c r="H16" s="193" t="s">
        <v>462</v>
      </c>
      <c r="I16" s="193" t="s">
        <v>463</v>
      </c>
      <c r="J16" s="193" t="s">
        <v>464</v>
      </c>
      <c r="K16" s="194">
        <v>100</v>
      </c>
      <c r="L16" s="376">
        <f>+K16/160</f>
        <v>0.625</v>
      </c>
      <c r="M16" s="377">
        <v>160</v>
      </c>
      <c r="N16" s="376">
        <f>+M16/160</f>
        <v>1</v>
      </c>
      <c r="O16" s="194"/>
      <c r="P16" s="376"/>
      <c r="Q16" s="194"/>
      <c r="R16" s="376"/>
      <c r="S16" s="378">
        <v>480000</v>
      </c>
      <c r="T16" s="194">
        <v>300000</v>
      </c>
      <c r="U16" s="194" t="s">
        <v>914</v>
      </c>
      <c r="V16" s="194">
        <v>180000</v>
      </c>
      <c r="W16" s="194" t="s">
        <v>915</v>
      </c>
      <c r="X16" s="194"/>
      <c r="Y16" s="194"/>
      <c r="Z16" s="194"/>
      <c r="AA16" s="194"/>
      <c r="AB16" s="194"/>
      <c r="AC16" s="194"/>
      <c r="AD16" s="378">
        <v>480000</v>
      </c>
      <c r="AE16" s="379">
        <v>1</v>
      </c>
      <c r="AF16" s="194"/>
      <c r="AG16" s="194"/>
      <c r="AH16" s="194"/>
      <c r="AI16" s="194"/>
      <c r="AJ16" s="194"/>
      <c r="AK16" s="194"/>
      <c r="AL16" s="194"/>
      <c r="AM16" s="194"/>
      <c r="AN16" s="735"/>
      <c r="AO16" s="766"/>
      <c r="AP16" s="193" t="s">
        <v>916</v>
      </c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</row>
    <row r="17" spans="1:57" ht="76.5" x14ac:dyDescent="0.25">
      <c r="A17" s="732"/>
      <c r="B17" s="738"/>
      <c r="C17" s="732"/>
      <c r="D17" s="735"/>
      <c r="E17" s="735"/>
      <c r="F17" s="191" t="s">
        <v>408</v>
      </c>
      <c r="G17" s="399" t="s">
        <v>409</v>
      </c>
      <c r="H17" s="194">
        <v>40</v>
      </c>
      <c r="I17" s="193" t="s">
        <v>465</v>
      </c>
      <c r="J17" s="193" t="s">
        <v>466</v>
      </c>
      <c r="K17" s="194">
        <v>12</v>
      </c>
      <c r="L17" s="376">
        <f>+K17/48</f>
        <v>0.25</v>
      </c>
      <c r="M17" s="377">
        <v>24</v>
      </c>
      <c r="N17" s="376">
        <f>+M17/48</f>
        <v>0.5</v>
      </c>
      <c r="O17" s="194">
        <v>36</v>
      </c>
      <c r="P17" s="376">
        <f>+O17/48</f>
        <v>0.75</v>
      </c>
      <c r="Q17" s="194">
        <v>48</v>
      </c>
      <c r="R17" s="376">
        <f>+Q17/48</f>
        <v>1</v>
      </c>
      <c r="S17" s="378">
        <v>88000</v>
      </c>
      <c r="T17" s="194">
        <v>22000</v>
      </c>
      <c r="U17" s="379">
        <v>0.25</v>
      </c>
      <c r="V17" s="194">
        <v>22000</v>
      </c>
      <c r="W17" s="379">
        <v>0.25</v>
      </c>
      <c r="X17" s="194">
        <v>22000</v>
      </c>
      <c r="Y17" s="379">
        <v>0.25</v>
      </c>
      <c r="Z17" s="194">
        <v>22000</v>
      </c>
      <c r="AA17" s="379">
        <v>0.25</v>
      </c>
      <c r="AB17" s="194"/>
      <c r="AC17" s="194"/>
      <c r="AD17" s="378">
        <v>88000</v>
      </c>
      <c r="AE17" s="379">
        <v>1</v>
      </c>
      <c r="AF17" s="194"/>
      <c r="AG17" s="194"/>
      <c r="AH17" s="194"/>
      <c r="AI17" s="194"/>
      <c r="AJ17" s="194"/>
      <c r="AK17" s="194"/>
      <c r="AL17" s="194"/>
      <c r="AM17" s="194"/>
      <c r="AN17" s="735"/>
      <c r="AO17" s="766"/>
      <c r="AP17" s="193" t="s">
        <v>917</v>
      </c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</row>
    <row r="18" spans="1:57" ht="63.75" x14ac:dyDescent="0.25">
      <c r="A18" s="732"/>
      <c r="B18" s="738"/>
      <c r="C18" s="732"/>
      <c r="D18" s="736"/>
      <c r="E18" s="736"/>
      <c r="F18" s="190" t="s">
        <v>410</v>
      </c>
      <c r="G18" s="190" t="s">
        <v>411</v>
      </c>
      <c r="H18" s="193" t="s">
        <v>467</v>
      </c>
      <c r="I18" s="193" t="s">
        <v>468</v>
      </c>
      <c r="J18" s="193" t="s">
        <v>469</v>
      </c>
      <c r="K18" s="194">
        <v>4900</v>
      </c>
      <c r="L18" s="376">
        <f>+K18/19600</f>
        <v>0.25</v>
      </c>
      <c r="M18" s="377">
        <f>4900*2</f>
        <v>9800</v>
      </c>
      <c r="N18" s="376">
        <f>+M18/19600</f>
        <v>0.5</v>
      </c>
      <c r="O18" s="194">
        <f>4900*3</f>
        <v>14700</v>
      </c>
      <c r="P18" s="376">
        <f>+O18/19600</f>
        <v>0.75</v>
      </c>
      <c r="Q18" s="194">
        <v>19600</v>
      </c>
      <c r="R18" s="376">
        <f>+Q18/19600</f>
        <v>1</v>
      </c>
      <c r="S18" s="378">
        <v>128000</v>
      </c>
      <c r="T18" s="194">
        <v>32000</v>
      </c>
      <c r="U18" s="379">
        <v>0.25</v>
      </c>
      <c r="V18" s="194">
        <v>32000</v>
      </c>
      <c r="W18" s="379">
        <v>0.25</v>
      </c>
      <c r="X18" s="194">
        <v>32000</v>
      </c>
      <c r="Y18" s="379">
        <v>0.25</v>
      </c>
      <c r="Z18" s="194">
        <v>32000</v>
      </c>
      <c r="AA18" s="379">
        <v>0.25</v>
      </c>
      <c r="AB18" s="194"/>
      <c r="AC18" s="194"/>
      <c r="AD18" s="378">
        <v>128000</v>
      </c>
      <c r="AE18" s="379">
        <v>1</v>
      </c>
      <c r="AF18" s="194"/>
      <c r="AG18" s="194"/>
      <c r="AH18" s="194"/>
      <c r="AI18" s="194"/>
      <c r="AJ18" s="194"/>
      <c r="AK18" s="194"/>
      <c r="AL18" s="194"/>
      <c r="AM18" s="194"/>
      <c r="AN18" s="736"/>
      <c r="AO18" s="766"/>
      <c r="AP18" s="193" t="s">
        <v>918</v>
      </c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</row>
    <row r="19" spans="1:57" ht="63.75" x14ac:dyDescent="0.25">
      <c r="A19" s="732"/>
      <c r="B19" s="738"/>
      <c r="C19" s="732"/>
      <c r="D19" s="731" t="s">
        <v>121</v>
      </c>
      <c r="E19" s="734" t="s">
        <v>122</v>
      </c>
      <c r="F19" s="192" t="s">
        <v>412</v>
      </c>
      <c r="G19" s="348" t="s">
        <v>919</v>
      </c>
      <c r="H19" s="194">
        <v>3</v>
      </c>
      <c r="I19" s="195" t="s">
        <v>920</v>
      </c>
      <c r="J19" s="193" t="s">
        <v>921</v>
      </c>
      <c r="K19" s="194">
        <v>0</v>
      </c>
      <c r="L19" s="376">
        <f>+K19/4</f>
        <v>0</v>
      </c>
      <c r="M19" s="377">
        <v>1</v>
      </c>
      <c r="N19" s="376">
        <f>+M19/4</f>
        <v>0.25</v>
      </c>
      <c r="O19" s="194">
        <v>3</v>
      </c>
      <c r="P19" s="376">
        <f>+O19/4</f>
        <v>0.75</v>
      </c>
      <c r="Q19" s="194">
        <v>4</v>
      </c>
      <c r="R19" s="376">
        <f>+Q19/4</f>
        <v>1</v>
      </c>
      <c r="S19" s="378">
        <v>200000</v>
      </c>
      <c r="T19" s="194">
        <v>0</v>
      </c>
      <c r="U19" s="379">
        <v>0</v>
      </c>
      <c r="V19" s="194">
        <v>1</v>
      </c>
      <c r="W19" s="379">
        <v>0.25</v>
      </c>
      <c r="X19" s="194">
        <v>50000</v>
      </c>
      <c r="Y19" s="379">
        <v>0.25</v>
      </c>
      <c r="Z19" s="194">
        <v>50000</v>
      </c>
      <c r="AA19" s="379">
        <v>0.25</v>
      </c>
      <c r="AB19" s="194"/>
      <c r="AC19" s="194"/>
      <c r="AD19" s="61"/>
      <c r="AE19" s="61"/>
      <c r="AF19" s="194"/>
      <c r="AG19" s="194"/>
      <c r="AH19" s="194"/>
      <c r="AI19" s="378">
        <v>200000</v>
      </c>
      <c r="AJ19" s="379">
        <v>1</v>
      </c>
      <c r="AK19" s="194"/>
      <c r="AL19" s="194"/>
      <c r="AM19" s="194"/>
      <c r="AN19" s="779" t="s">
        <v>902</v>
      </c>
      <c r="AO19" s="766"/>
      <c r="AP19" s="193" t="s">
        <v>922</v>
      </c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</row>
    <row r="20" spans="1:57" ht="51" x14ac:dyDescent="0.25">
      <c r="A20" s="732"/>
      <c r="B20" s="738"/>
      <c r="C20" s="732"/>
      <c r="D20" s="732"/>
      <c r="E20" s="735"/>
      <c r="F20" s="190" t="s">
        <v>413</v>
      </c>
      <c r="G20" s="190" t="s">
        <v>923</v>
      </c>
      <c r="H20" s="194">
        <v>0</v>
      </c>
      <c r="I20" s="195" t="s">
        <v>924</v>
      </c>
      <c r="J20" s="193" t="s">
        <v>925</v>
      </c>
      <c r="K20" s="193">
        <v>1</v>
      </c>
      <c r="L20" s="376">
        <f>+K20/1</f>
        <v>1</v>
      </c>
      <c r="M20" s="377"/>
      <c r="N20" s="376"/>
      <c r="O20" s="194"/>
      <c r="P20" s="376"/>
      <c r="Q20" s="193"/>
      <c r="R20" s="376"/>
      <c r="S20" s="378">
        <v>24000</v>
      </c>
      <c r="T20" s="194">
        <v>0</v>
      </c>
      <c r="U20" s="379">
        <v>0</v>
      </c>
      <c r="V20" s="194">
        <v>1</v>
      </c>
      <c r="W20" s="379">
        <v>1</v>
      </c>
      <c r="X20" s="194"/>
      <c r="Y20" s="194"/>
      <c r="Z20" s="194"/>
      <c r="AA20" s="194"/>
      <c r="AB20" s="194"/>
      <c r="AC20" s="194"/>
      <c r="AD20" s="61"/>
      <c r="AE20" s="61"/>
      <c r="AF20" s="194"/>
      <c r="AG20" s="194"/>
      <c r="AH20" s="194"/>
      <c r="AI20" s="378">
        <v>24000</v>
      </c>
      <c r="AJ20" s="379">
        <v>1</v>
      </c>
      <c r="AK20" s="194"/>
      <c r="AL20" s="194"/>
      <c r="AM20" s="194"/>
      <c r="AN20" s="780"/>
      <c r="AO20" s="766"/>
      <c r="AP20" s="193" t="s">
        <v>926</v>
      </c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</row>
    <row r="21" spans="1:57" ht="64.5" x14ac:dyDescent="0.25">
      <c r="A21" s="732"/>
      <c r="B21" s="738"/>
      <c r="C21" s="732"/>
      <c r="D21" s="732"/>
      <c r="E21" s="735"/>
      <c r="F21" s="192" t="s">
        <v>414</v>
      </c>
      <c r="G21" s="190" t="s">
        <v>415</v>
      </c>
      <c r="H21" s="193" t="s">
        <v>470</v>
      </c>
      <c r="I21" s="386" t="s">
        <v>927</v>
      </c>
      <c r="J21" s="193" t="s">
        <v>471</v>
      </c>
      <c r="K21" s="194">
        <v>20</v>
      </c>
      <c r="L21" s="376">
        <f>+K21/240</f>
        <v>8.3333333333333329E-2</v>
      </c>
      <c r="M21" s="377">
        <v>80</v>
      </c>
      <c r="N21" s="376">
        <f>+M21/240</f>
        <v>0.33333333333333331</v>
      </c>
      <c r="O21" s="194">
        <v>160</v>
      </c>
      <c r="P21" s="376">
        <f>+O21/240</f>
        <v>0.66666666666666663</v>
      </c>
      <c r="Q21" s="194">
        <v>240</v>
      </c>
      <c r="R21" s="376">
        <f>+Q21/240</f>
        <v>1</v>
      </c>
      <c r="S21" s="378">
        <v>48000</v>
      </c>
      <c r="T21" s="385">
        <v>3840</v>
      </c>
      <c r="U21" s="379">
        <v>0.08</v>
      </c>
      <c r="V21" s="385">
        <v>12000</v>
      </c>
      <c r="W21" s="379">
        <v>0.25</v>
      </c>
      <c r="X21" s="385">
        <v>16320</v>
      </c>
      <c r="Y21" s="379">
        <v>0.34</v>
      </c>
      <c r="Z21" s="194">
        <v>15840</v>
      </c>
      <c r="AA21" s="379">
        <v>0.33</v>
      </c>
      <c r="AB21" s="194"/>
      <c r="AC21" s="194"/>
      <c r="AD21" s="61"/>
      <c r="AE21" s="61"/>
      <c r="AF21" s="194"/>
      <c r="AG21" s="194"/>
      <c r="AH21" s="194"/>
      <c r="AI21" s="378">
        <v>48000</v>
      </c>
      <c r="AJ21" s="379">
        <v>1</v>
      </c>
      <c r="AK21" s="194"/>
      <c r="AL21" s="194"/>
      <c r="AM21" s="194"/>
      <c r="AN21" s="780"/>
      <c r="AO21" s="766"/>
      <c r="AP21" s="193" t="s">
        <v>922</v>
      </c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</row>
    <row r="22" spans="1:57" ht="64.5" x14ac:dyDescent="0.25">
      <c r="A22" s="732"/>
      <c r="B22" s="738"/>
      <c r="C22" s="732"/>
      <c r="D22" s="732"/>
      <c r="E22" s="735"/>
      <c r="F22" s="192" t="s">
        <v>416</v>
      </c>
      <c r="G22" s="348" t="s">
        <v>417</v>
      </c>
      <c r="H22" s="193" t="s">
        <v>928</v>
      </c>
      <c r="I22" s="195" t="s">
        <v>929</v>
      </c>
      <c r="J22" s="193" t="s">
        <v>472</v>
      </c>
      <c r="K22" s="194">
        <v>1</v>
      </c>
      <c r="L22" s="376">
        <f>+K22/3</f>
        <v>0.33333333333333331</v>
      </c>
      <c r="M22" s="377">
        <v>2</v>
      </c>
      <c r="N22" s="376">
        <f>+M22/3</f>
        <v>0.66666666666666663</v>
      </c>
      <c r="O22" s="194">
        <v>3</v>
      </c>
      <c r="P22" s="376">
        <f>+O22/3</f>
        <v>1</v>
      </c>
      <c r="Q22" s="194"/>
      <c r="R22" s="376"/>
      <c r="S22" s="378">
        <v>120000</v>
      </c>
      <c r="T22" s="194">
        <v>39600</v>
      </c>
      <c r="U22" s="379">
        <v>0.33</v>
      </c>
      <c r="V22" s="194">
        <v>39600</v>
      </c>
      <c r="W22" s="379">
        <v>0.33</v>
      </c>
      <c r="X22" s="194">
        <v>39600</v>
      </c>
      <c r="Y22" s="379">
        <v>0.33</v>
      </c>
      <c r="Z22" s="194"/>
      <c r="AA22" s="194"/>
      <c r="AB22" s="194"/>
      <c r="AC22" s="194"/>
      <c r="AD22" s="61"/>
      <c r="AE22" s="61"/>
      <c r="AF22" s="194"/>
      <c r="AG22" s="194"/>
      <c r="AH22" s="194"/>
      <c r="AI22" s="378">
        <v>120000</v>
      </c>
      <c r="AJ22" s="379">
        <v>1</v>
      </c>
      <c r="AK22" s="194"/>
      <c r="AL22" s="194"/>
      <c r="AM22" s="194"/>
      <c r="AN22" s="780"/>
      <c r="AO22" s="766"/>
      <c r="AP22" s="193" t="s">
        <v>922</v>
      </c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</row>
    <row r="23" spans="1:57" ht="63.75" x14ac:dyDescent="0.25">
      <c r="A23" s="732"/>
      <c r="B23" s="738"/>
      <c r="C23" s="732"/>
      <c r="D23" s="732"/>
      <c r="E23" s="735"/>
      <c r="F23" s="192" t="s">
        <v>418</v>
      </c>
      <c r="G23" s="348" t="s">
        <v>419</v>
      </c>
      <c r="H23" s="193" t="s">
        <v>930</v>
      </c>
      <c r="I23" s="377" t="s">
        <v>473</v>
      </c>
      <c r="J23" s="194" t="s">
        <v>474</v>
      </c>
      <c r="K23" s="194">
        <v>0</v>
      </c>
      <c r="L23" s="376">
        <f>+K23/150</f>
        <v>0</v>
      </c>
      <c r="M23" s="377">
        <v>75</v>
      </c>
      <c r="N23" s="376">
        <f>+M23/150</f>
        <v>0.5</v>
      </c>
      <c r="O23" s="194">
        <v>75</v>
      </c>
      <c r="P23" s="376">
        <f>+O23/150</f>
        <v>0.5</v>
      </c>
      <c r="Q23" s="194">
        <v>150</v>
      </c>
      <c r="R23" s="376">
        <f>+Q23/150</f>
        <v>1</v>
      </c>
      <c r="S23" s="378">
        <v>500000</v>
      </c>
      <c r="T23" s="194">
        <v>0</v>
      </c>
      <c r="U23" s="379">
        <v>0</v>
      </c>
      <c r="V23" s="194">
        <v>250000</v>
      </c>
      <c r="W23" s="379">
        <v>0.5</v>
      </c>
      <c r="X23" s="194">
        <v>125000</v>
      </c>
      <c r="Y23" s="379">
        <v>0.25</v>
      </c>
      <c r="Z23" s="194">
        <v>125000</v>
      </c>
      <c r="AA23" s="194"/>
      <c r="AB23" s="194"/>
      <c r="AC23" s="194"/>
      <c r="AD23" s="61"/>
      <c r="AE23" s="61"/>
      <c r="AF23" s="194"/>
      <c r="AG23" s="194"/>
      <c r="AH23" s="194"/>
      <c r="AI23" s="378">
        <v>500000</v>
      </c>
      <c r="AJ23" s="379">
        <v>1</v>
      </c>
      <c r="AK23" s="194"/>
      <c r="AL23" s="194"/>
      <c r="AM23" s="194"/>
      <c r="AN23" s="780"/>
      <c r="AO23" s="766"/>
      <c r="AP23" s="193" t="s">
        <v>922</v>
      </c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</row>
    <row r="24" spans="1:57" ht="63.75" x14ac:dyDescent="0.25">
      <c r="A24" s="732"/>
      <c r="B24" s="738"/>
      <c r="C24" s="732"/>
      <c r="D24" s="732"/>
      <c r="E24" s="735"/>
      <c r="F24" s="777" t="s">
        <v>420</v>
      </c>
      <c r="G24" s="777" t="s">
        <v>931</v>
      </c>
      <c r="H24" s="193" t="s">
        <v>932</v>
      </c>
      <c r="I24" s="195" t="s">
        <v>933</v>
      </c>
      <c r="J24" s="193" t="s">
        <v>934</v>
      </c>
      <c r="K24" s="194">
        <v>1</v>
      </c>
      <c r="L24" s="376">
        <f>+K24/1</f>
        <v>1</v>
      </c>
      <c r="M24" s="194"/>
      <c r="N24" s="376"/>
      <c r="O24" s="194"/>
      <c r="P24" s="376"/>
      <c r="Q24" s="194"/>
      <c r="R24" s="376"/>
      <c r="S24" s="378">
        <v>8000</v>
      </c>
      <c r="T24" s="194">
        <v>1</v>
      </c>
      <c r="U24" s="379">
        <v>1</v>
      </c>
      <c r="V24" s="194"/>
      <c r="W24" s="194"/>
      <c r="X24" s="194"/>
      <c r="Y24" s="194"/>
      <c r="Z24" s="194"/>
      <c r="AA24" s="194"/>
      <c r="AB24" s="194"/>
      <c r="AC24" s="194"/>
      <c r="AD24" s="61"/>
      <c r="AE24" s="61"/>
      <c r="AF24" s="194"/>
      <c r="AG24" s="194"/>
      <c r="AH24" s="194"/>
      <c r="AI24" s="378">
        <v>8000</v>
      </c>
      <c r="AJ24" s="379">
        <v>1</v>
      </c>
      <c r="AK24" s="194"/>
      <c r="AL24" s="194"/>
      <c r="AM24" s="194"/>
      <c r="AN24" s="780"/>
      <c r="AO24" s="766"/>
      <c r="AP24" s="193" t="s">
        <v>922</v>
      </c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</row>
    <row r="25" spans="1:57" ht="63.75" x14ac:dyDescent="0.25">
      <c r="A25" s="732"/>
      <c r="B25" s="738"/>
      <c r="C25" s="732"/>
      <c r="D25" s="733"/>
      <c r="E25" s="735"/>
      <c r="F25" s="778"/>
      <c r="G25" s="778"/>
      <c r="H25" s="194" t="s">
        <v>475</v>
      </c>
      <c r="I25" s="195" t="s">
        <v>476</v>
      </c>
      <c r="J25" s="193" t="s">
        <v>477</v>
      </c>
      <c r="K25" s="193">
        <v>0</v>
      </c>
      <c r="L25" s="376">
        <f>+K25/13</f>
        <v>0</v>
      </c>
      <c r="M25" s="195">
        <v>4</v>
      </c>
      <c r="N25" s="376">
        <f>+M25/13</f>
        <v>0.30769230769230771</v>
      </c>
      <c r="O25" s="193">
        <v>8</v>
      </c>
      <c r="P25" s="376">
        <f>+O25/13</f>
        <v>0.61538461538461542</v>
      </c>
      <c r="Q25" s="193">
        <v>13</v>
      </c>
      <c r="R25" s="376">
        <f>+Q25/13</f>
        <v>1</v>
      </c>
      <c r="S25" s="378">
        <v>25000</v>
      </c>
      <c r="T25" s="194">
        <v>0</v>
      </c>
      <c r="U25" s="379">
        <v>0</v>
      </c>
      <c r="V25" s="378">
        <f>+W25*S25</f>
        <v>7750</v>
      </c>
      <c r="W25" s="379">
        <v>0.31</v>
      </c>
      <c r="X25" s="378">
        <v>7750</v>
      </c>
      <c r="Y25" s="379">
        <v>0.31</v>
      </c>
      <c r="Z25" s="194">
        <v>9500</v>
      </c>
      <c r="AA25" s="379">
        <v>0.38</v>
      </c>
      <c r="AB25" s="194"/>
      <c r="AC25" s="194"/>
      <c r="AD25" s="61"/>
      <c r="AE25" s="61"/>
      <c r="AF25" s="194"/>
      <c r="AG25" s="194"/>
      <c r="AH25" s="194"/>
      <c r="AI25" s="378">
        <v>25000</v>
      </c>
      <c r="AJ25" s="379">
        <v>1</v>
      </c>
      <c r="AK25" s="194"/>
      <c r="AL25" s="194"/>
      <c r="AM25" s="194"/>
      <c r="AN25" s="780"/>
      <c r="AO25" s="766"/>
      <c r="AP25" s="193" t="s">
        <v>922</v>
      </c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</row>
    <row r="26" spans="1:57" ht="63.75" x14ac:dyDescent="0.25">
      <c r="A26" s="732"/>
      <c r="B26" s="738"/>
      <c r="C26" s="732"/>
      <c r="D26" s="775" t="s">
        <v>123</v>
      </c>
      <c r="E26" s="735"/>
      <c r="F26" s="192" t="s">
        <v>421</v>
      </c>
      <c r="G26" s="190" t="s">
        <v>422</v>
      </c>
      <c r="H26" s="194">
        <v>1</v>
      </c>
      <c r="I26" s="195" t="s">
        <v>478</v>
      </c>
      <c r="J26" s="193" t="s">
        <v>479</v>
      </c>
      <c r="K26" s="194">
        <v>1</v>
      </c>
      <c r="L26" s="376">
        <f>+K26/1</f>
        <v>1</v>
      </c>
      <c r="M26" s="377"/>
      <c r="N26" s="376"/>
      <c r="O26" s="194"/>
      <c r="P26" s="376"/>
      <c r="Q26" s="194"/>
      <c r="R26" s="376"/>
      <c r="S26" s="378">
        <v>30000</v>
      </c>
      <c r="T26" s="194">
        <v>1</v>
      </c>
      <c r="U26" s="379">
        <v>1</v>
      </c>
      <c r="V26" s="194"/>
      <c r="W26" s="194"/>
      <c r="X26" s="194"/>
      <c r="Y26" s="194"/>
      <c r="Z26" s="194"/>
      <c r="AA26" s="194"/>
      <c r="AB26" s="194"/>
      <c r="AC26" s="194"/>
      <c r="AD26" s="61"/>
      <c r="AE26" s="61"/>
      <c r="AF26" s="194"/>
      <c r="AG26" s="194"/>
      <c r="AH26" s="194"/>
      <c r="AI26" s="378">
        <v>30000</v>
      </c>
      <c r="AJ26" s="379">
        <v>1</v>
      </c>
      <c r="AK26" s="194"/>
      <c r="AL26" s="194"/>
      <c r="AM26" s="194"/>
      <c r="AN26" s="780"/>
      <c r="AO26" s="766"/>
      <c r="AP26" s="193" t="s">
        <v>922</v>
      </c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</row>
    <row r="27" spans="1:57" ht="63.75" x14ac:dyDescent="0.25">
      <c r="A27" s="732"/>
      <c r="B27" s="738"/>
      <c r="C27" s="732"/>
      <c r="D27" s="776"/>
      <c r="E27" s="735"/>
      <c r="F27" s="191" t="s">
        <v>423</v>
      </c>
      <c r="G27" s="348" t="s">
        <v>424</v>
      </c>
      <c r="H27" s="198">
        <v>0</v>
      </c>
      <c r="I27" s="199" t="s">
        <v>480</v>
      </c>
      <c r="J27" s="199" t="s">
        <v>481</v>
      </c>
      <c r="K27" s="198"/>
      <c r="L27" s="376">
        <f>+K27/1</f>
        <v>0</v>
      </c>
      <c r="M27" s="387">
        <v>1</v>
      </c>
      <c r="N27" s="376">
        <f>+M27/1</f>
        <v>1</v>
      </c>
      <c r="O27" s="198"/>
      <c r="P27" s="376"/>
      <c r="Q27" s="198"/>
      <c r="R27" s="376"/>
      <c r="S27" s="378">
        <v>150000</v>
      </c>
      <c r="T27" s="198">
        <v>0</v>
      </c>
      <c r="U27" s="388">
        <v>0</v>
      </c>
      <c r="V27" s="389">
        <v>150000</v>
      </c>
      <c r="W27" s="388">
        <v>1</v>
      </c>
      <c r="X27" s="198"/>
      <c r="Y27" s="198"/>
      <c r="Z27" s="198"/>
      <c r="AA27" s="198"/>
      <c r="AB27" s="194"/>
      <c r="AC27" s="198"/>
      <c r="AD27" s="61"/>
      <c r="AE27" s="61"/>
      <c r="AF27" s="198"/>
      <c r="AG27" s="198"/>
      <c r="AH27" s="198"/>
      <c r="AI27" s="378">
        <v>150000</v>
      </c>
      <c r="AJ27" s="379">
        <v>1</v>
      </c>
      <c r="AK27" s="198"/>
      <c r="AL27" s="198"/>
      <c r="AM27" s="198"/>
      <c r="AN27" s="780"/>
      <c r="AO27" s="766"/>
      <c r="AP27" s="193" t="s">
        <v>922</v>
      </c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</row>
    <row r="28" spans="1:57" s="391" customFormat="1" ht="51" customHeight="1" x14ac:dyDescent="0.25">
      <c r="A28" s="732"/>
      <c r="B28" s="738"/>
      <c r="C28" s="732"/>
      <c r="D28" s="731" t="s">
        <v>124</v>
      </c>
      <c r="E28" s="735"/>
      <c r="F28" s="191" t="s">
        <v>425</v>
      </c>
      <c r="G28" s="777" t="s">
        <v>935</v>
      </c>
      <c r="H28" s="194">
        <v>0</v>
      </c>
      <c r="I28" s="195" t="s">
        <v>482</v>
      </c>
      <c r="J28" s="193" t="s">
        <v>483</v>
      </c>
      <c r="K28" s="194">
        <v>150</v>
      </c>
      <c r="L28" s="376">
        <f>+K28/600</f>
        <v>0.25</v>
      </c>
      <c r="M28" s="377">
        <v>300</v>
      </c>
      <c r="N28" s="376">
        <f>+M28/600</f>
        <v>0.5</v>
      </c>
      <c r="O28" s="194">
        <v>450</v>
      </c>
      <c r="P28" s="376">
        <f>+O28/600</f>
        <v>0.75</v>
      </c>
      <c r="Q28" s="194">
        <v>600</v>
      </c>
      <c r="R28" s="376">
        <f>+Q28/600</f>
        <v>1</v>
      </c>
      <c r="S28" s="772">
        <v>480000</v>
      </c>
      <c r="T28" s="772">
        <v>120000</v>
      </c>
      <c r="U28" s="774">
        <v>0.25</v>
      </c>
      <c r="V28" s="772">
        <v>120000</v>
      </c>
      <c r="W28" s="774">
        <v>0.25</v>
      </c>
      <c r="X28" s="772">
        <v>120000</v>
      </c>
      <c r="Y28" s="774">
        <v>0.25</v>
      </c>
      <c r="Z28" s="772">
        <v>120000</v>
      </c>
      <c r="AA28" s="774">
        <v>0.25</v>
      </c>
      <c r="AB28" s="194"/>
      <c r="AC28" s="194"/>
      <c r="AD28" s="61"/>
      <c r="AE28" s="61"/>
      <c r="AF28" s="194"/>
      <c r="AG28" s="194"/>
      <c r="AH28" s="194"/>
      <c r="AI28" s="772">
        <v>480000</v>
      </c>
      <c r="AJ28" s="379">
        <v>1</v>
      </c>
      <c r="AK28" s="194"/>
      <c r="AL28" s="194"/>
      <c r="AM28" s="194"/>
      <c r="AN28" s="780"/>
      <c r="AO28" s="766"/>
      <c r="AP28" s="770" t="s">
        <v>936</v>
      </c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</row>
    <row r="29" spans="1:57" s="391" customFormat="1" ht="39" x14ac:dyDescent="0.25">
      <c r="A29" s="732"/>
      <c r="B29" s="738"/>
      <c r="C29" s="732"/>
      <c r="D29" s="732"/>
      <c r="E29" s="735"/>
      <c r="F29" s="192" t="s">
        <v>426</v>
      </c>
      <c r="G29" s="778"/>
      <c r="H29" s="194">
        <v>1</v>
      </c>
      <c r="I29" s="193" t="s">
        <v>484</v>
      </c>
      <c r="J29" s="193" t="s">
        <v>485</v>
      </c>
      <c r="K29" s="194">
        <v>0</v>
      </c>
      <c r="L29" s="376">
        <f>+K29/600</f>
        <v>0</v>
      </c>
      <c r="M29" s="377">
        <v>1</v>
      </c>
      <c r="N29" s="376">
        <f>+M29/1</f>
        <v>1</v>
      </c>
      <c r="O29" s="194">
        <v>1</v>
      </c>
      <c r="P29" s="376">
        <f>+O29/1</f>
        <v>1</v>
      </c>
      <c r="Q29" s="194">
        <v>1</v>
      </c>
      <c r="R29" s="376">
        <f>+Q29/1</f>
        <v>1</v>
      </c>
      <c r="S29" s="773"/>
      <c r="T29" s="773"/>
      <c r="U29" s="769"/>
      <c r="V29" s="773"/>
      <c r="W29" s="769"/>
      <c r="X29" s="773"/>
      <c r="Y29" s="769"/>
      <c r="Z29" s="773"/>
      <c r="AA29" s="769"/>
      <c r="AB29" s="194"/>
      <c r="AC29" s="194"/>
      <c r="AD29" s="61"/>
      <c r="AE29" s="61"/>
      <c r="AF29" s="194"/>
      <c r="AG29" s="194"/>
      <c r="AH29" s="194"/>
      <c r="AI29" s="773"/>
      <c r="AJ29" s="379">
        <v>1</v>
      </c>
      <c r="AK29" s="194"/>
      <c r="AL29" s="194"/>
      <c r="AM29" s="194"/>
      <c r="AN29" s="780"/>
      <c r="AO29" s="766"/>
      <c r="AP29" s="771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</row>
    <row r="30" spans="1:57" s="391" customFormat="1" ht="51.75" x14ac:dyDescent="0.25">
      <c r="A30" s="732"/>
      <c r="B30" s="738"/>
      <c r="C30" s="732"/>
      <c r="D30" s="732"/>
      <c r="E30" s="735"/>
      <c r="F30" s="192" t="s">
        <v>427</v>
      </c>
      <c r="G30" s="348" t="s">
        <v>428</v>
      </c>
      <c r="H30" s="193" t="s">
        <v>486</v>
      </c>
      <c r="I30" s="193" t="s">
        <v>487</v>
      </c>
      <c r="J30" s="193" t="s">
        <v>488</v>
      </c>
      <c r="K30" s="194">
        <v>15</v>
      </c>
      <c r="L30" s="376">
        <f>+K30/60</f>
        <v>0.25</v>
      </c>
      <c r="M30" s="377">
        <v>35</v>
      </c>
      <c r="N30" s="376">
        <f>+M30/60</f>
        <v>0.58333333333333337</v>
      </c>
      <c r="O30" s="194">
        <v>45</v>
      </c>
      <c r="P30" s="376">
        <f>+O30/60</f>
        <v>0.75</v>
      </c>
      <c r="Q30" s="194">
        <v>60</v>
      </c>
      <c r="R30" s="376">
        <f>+Q30/60</f>
        <v>1</v>
      </c>
      <c r="S30" s="378">
        <v>190000</v>
      </c>
      <c r="T30" s="378">
        <f>25%*S30</f>
        <v>47500</v>
      </c>
      <c r="U30" s="379">
        <v>0.25</v>
      </c>
      <c r="V30" s="378">
        <f>+W30*S30</f>
        <v>62700</v>
      </c>
      <c r="W30" s="379">
        <v>0.33</v>
      </c>
      <c r="X30" s="378">
        <f>+Y30*S30</f>
        <v>32300.000000000004</v>
      </c>
      <c r="Y30" s="379">
        <v>0.17</v>
      </c>
      <c r="Z30" s="378">
        <v>47500</v>
      </c>
      <c r="AA30" s="379">
        <v>0.25</v>
      </c>
      <c r="AB30" s="194"/>
      <c r="AC30" s="194"/>
      <c r="AD30" s="61"/>
      <c r="AE30" s="61"/>
      <c r="AF30" s="194"/>
      <c r="AG30" s="194"/>
      <c r="AH30" s="194"/>
      <c r="AI30" s="378">
        <v>190000</v>
      </c>
      <c r="AJ30" s="379">
        <v>1</v>
      </c>
      <c r="AK30" s="194"/>
      <c r="AL30" s="194"/>
      <c r="AM30" s="194"/>
      <c r="AN30" s="780"/>
      <c r="AO30" s="766"/>
      <c r="AP30" s="770" t="s">
        <v>936</v>
      </c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</row>
    <row r="31" spans="1:57" s="391" customFormat="1" ht="38.25" customHeight="1" x14ac:dyDescent="0.25">
      <c r="A31" s="732"/>
      <c r="B31" s="738"/>
      <c r="C31" s="733"/>
      <c r="D31" s="733"/>
      <c r="E31" s="736"/>
      <c r="F31" s="190" t="s">
        <v>429</v>
      </c>
      <c r="G31" s="190" t="s">
        <v>430</v>
      </c>
      <c r="H31" s="194">
        <v>0</v>
      </c>
      <c r="I31" s="193" t="s">
        <v>489</v>
      </c>
      <c r="J31" s="193" t="s">
        <v>490</v>
      </c>
      <c r="K31" s="194">
        <v>0</v>
      </c>
      <c r="L31" s="376">
        <f>+K31/1</f>
        <v>0</v>
      </c>
      <c r="M31" s="377">
        <v>0</v>
      </c>
      <c r="N31" s="376">
        <f>+M31/1</f>
        <v>0</v>
      </c>
      <c r="O31" s="194">
        <v>0</v>
      </c>
      <c r="P31" s="376">
        <f>+O31/1</f>
        <v>0</v>
      </c>
      <c r="Q31" s="194">
        <v>1</v>
      </c>
      <c r="R31" s="376">
        <f>+Q31/1</f>
        <v>1</v>
      </c>
      <c r="S31" s="378">
        <v>100000</v>
      </c>
      <c r="T31" s="194">
        <v>0</v>
      </c>
      <c r="U31" s="379">
        <v>0</v>
      </c>
      <c r="V31" s="378">
        <v>0</v>
      </c>
      <c r="W31" s="379">
        <v>0</v>
      </c>
      <c r="X31" s="378">
        <v>0</v>
      </c>
      <c r="Y31" s="379">
        <v>0</v>
      </c>
      <c r="Z31" s="378">
        <v>100000</v>
      </c>
      <c r="AA31" s="379">
        <v>1</v>
      </c>
      <c r="AB31" s="194"/>
      <c r="AC31" s="194"/>
      <c r="AD31" s="61"/>
      <c r="AE31" s="61"/>
      <c r="AF31" s="194"/>
      <c r="AG31" s="194"/>
      <c r="AH31" s="194"/>
      <c r="AI31" s="378">
        <v>100000</v>
      </c>
      <c r="AJ31" s="379">
        <v>1</v>
      </c>
      <c r="AK31" s="194"/>
      <c r="AL31" s="194"/>
      <c r="AM31" s="194"/>
      <c r="AN31" s="781"/>
      <c r="AO31" s="766"/>
      <c r="AP31" s="771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</row>
    <row r="32" spans="1:57" s="391" customFormat="1" ht="51" x14ac:dyDescent="0.25">
      <c r="A32" s="732"/>
      <c r="B32" s="738"/>
      <c r="C32" s="734" t="s">
        <v>125</v>
      </c>
      <c r="D32" s="731" t="s">
        <v>126</v>
      </c>
      <c r="E32" s="734" t="s">
        <v>127</v>
      </c>
      <c r="F32" s="190" t="s">
        <v>431</v>
      </c>
      <c r="G32" s="190" t="s">
        <v>432</v>
      </c>
      <c r="H32" s="194">
        <v>0</v>
      </c>
      <c r="I32" s="193" t="s">
        <v>491</v>
      </c>
      <c r="J32" s="193" t="s">
        <v>492</v>
      </c>
      <c r="K32" s="194">
        <v>0</v>
      </c>
      <c r="L32" s="376">
        <f>+K32/4</f>
        <v>0</v>
      </c>
      <c r="M32" s="377">
        <v>2</v>
      </c>
      <c r="N32" s="376">
        <f>+M32/4</f>
        <v>0.5</v>
      </c>
      <c r="O32" s="194">
        <v>3</v>
      </c>
      <c r="P32" s="376">
        <f>+O32/4</f>
        <v>0.75</v>
      </c>
      <c r="Q32" s="194">
        <v>4</v>
      </c>
      <c r="R32" s="376">
        <f>+Q32/4</f>
        <v>1</v>
      </c>
      <c r="S32" s="378">
        <v>75000</v>
      </c>
      <c r="T32" s="194">
        <v>0</v>
      </c>
      <c r="U32" s="379">
        <v>0</v>
      </c>
      <c r="V32" s="378">
        <v>37500</v>
      </c>
      <c r="W32" s="379">
        <v>0.5</v>
      </c>
      <c r="X32" s="378">
        <v>18750</v>
      </c>
      <c r="Y32" s="379">
        <v>0.25</v>
      </c>
      <c r="Z32" s="378">
        <v>18750</v>
      </c>
      <c r="AA32" s="379">
        <v>0.25</v>
      </c>
      <c r="AB32" s="378">
        <v>75000</v>
      </c>
      <c r="AC32" s="379">
        <v>1</v>
      </c>
      <c r="AD32" s="378"/>
      <c r="AE32" s="379"/>
      <c r="AF32" s="194"/>
      <c r="AG32" s="194"/>
      <c r="AH32" s="194"/>
      <c r="AI32" s="194"/>
      <c r="AJ32" s="194"/>
      <c r="AK32" s="194"/>
      <c r="AL32" s="194"/>
      <c r="AM32" s="194"/>
      <c r="AN32" s="779" t="s">
        <v>909</v>
      </c>
      <c r="AO32" s="766"/>
      <c r="AP32" s="193" t="s">
        <v>937</v>
      </c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</row>
    <row r="33" spans="1:57" s="391" customFormat="1" ht="51" x14ac:dyDescent="0.25">
      <c r="A33" s="732"/>
      <c r="B33" s="738"/>
      <c r="C33" s="735"/>
      <c r="D33" s="732"/>
      <c r="E33" s="735"/>
      <c r="F33" s="348" t="s">
        <v>433</v>
      </c>
      <c r="G33" s="190" t="s">
        <v>434</v>
      </c>
      <c r="H33" s="194">
        <v>0</v>
      </c>
      <c r="I33" s="193" t="s">
        <v>938</v>
      </c>
      <c r="J33" s="193" t="s">
        <v>493</v>
      </c>
      <c r="K33" s="194"/>
      <c r="L33" s="376">
        <f>+K33/600</f>
        <v>0</v>
      </c>
      <c r="M33" s="377">
        <v>1</v>
      </c>
      <c r="N33" s="377">
        <v>100</v>
      </c>
      <c r="O33" s="194"/>
      <c r="P33" s="194"/>
      <c r="Q33" s="194"/>
      <c r="R33" s="194"/>
      <c r="S33" s="378">
        <v>50000</v>
      </c>
      <c r="T33" s="194">
        <v>0</v>
      </c>
      <c r="U33" s="379">
        <v>0</v>
      </c>
      <c r="V33" s="378">
        <v>50000</v>
      </c>
      <c r="W33" s="379">
        <v>1</v>
      </c>
      <c r="X33" s="378"/>
      <c r="Y33" s="194"/>
      <c r="Z33" s="378"/>
      <c r="AA33" s="194"/>
      <c r="AB33" s="378">
        <v>50000</v>
      </c>
      <c r="AC33" s="379">
        <v>1</v>
      </c>
      <c r="AD33" s="378"/>
      <c r="AE33" s="379"/>
      <c r="AF33" s="194"/>
      <c r="AG33" s="194"/>
      <c r="AH33" s="194"/>
      <c r="AI33" s="194"/>
      <c r="AJ33" s="194"/>
      <c r="AK33" s="194"/>
      <c r="AL33" s="194"/>
      <c r="AM33" s="194"/>
      <c r="AN33" s="780"/>
      <c r="AO33" s="766"/>
      <c r="AP33" s="193" t="s">
        <v>937</v>
      </c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</row>
    <row r="34" spans="1:57" s="391" customFormat="1" ht="51" x14ac:dyDescent="0.25">
      <c r="A34" s="732"/>
      <c r="B34" s="738"/>
      <c r="C34" s="735"/>
      <c r="D34" s="732"/>
      <c r="E34" s="735"/>
      <c r="F34" s="190" t="s">
        <v>435</v>
      </c>
      <c r="G34" s="190" t="s">
        <v>436</v>
      </c>
      <c r="H34" s="194">
        <v>0</v>
      </c>
      <c r="I34" s="193" t="s">
        <v>939</v>
      </c>
      <c r="J34" s="193" t="s">
        <v>940</v>
      </c>
      <c r="K34" s="194">
        <v>0</v>
      </c>
      <c r="L34" s="376">
        <f>+K34/3</f>
        <v>0</v>
      </c>
      <c r="M34" s="195">
        <v>1</v>
      </c>
      <c r="N34" s="376">
        <f>+M34/3</f>
        <v>0.33333333333333331</v>
      </c>
      <c r="O34" s="193">
        <v>2</v>
      </c>
      <c r="P34" s="376">
        <f>+O34/3</f>
        <v>0.66666666666666663</v>
      </c>
      <c r="Q34" s="193">
        <v>3</v>
      </c>
      <c r="R34" s="376">
        <f>+Q34/3</f>
        <v>1</v>
      </c>
      <c r="S34" s="378">
        <v>420000</v>
      </c>
      <c r="T34" s="194">
        <v>0</v>
      </c>
      <c r="U34" s="379">
        <v>0</v>
      </c>
      <c r="V34" s="378">
        <v>138200</v>
      </c>
      <c r="W34" s="379">
        <v>0.33</v>
      </c>
      <c r="X34" s="378">
        <v>138200</v>
      </c>
      <c r="Y34" s="379">
        <v>0.33</v>
      </c>
      <c r="Z34" s="378">
        <v>143600</v>
      </c>
      <c r="AA34" s="379">
        <v>0.34</v>
      </c>
      <c r="AB34" s="378">
        <v>420000</v>
      </c>
      <c r="AC34" s="379">
        <v>1</v>
      </c>
      <c r="AD34" s="378"/>
      <c r="AE34" s="379"/>
      <c r="AF34" s="194"/>
      <c r="AG34" s="194"/>
      <c r="AH34" s="194"/>
      <c r="AI34" s="194"/>
      <c r="AJ34" s="194"/>
      <c r="AK34" s="194"/>
      <c r="AL34" s="194"/>
      <c r="AM34" s="194"/>
      <c r="AN34" s="780"/>
      <c r="AO34" s="766"/>
      <c r="AP34" s="193" t="s">
        <v>937</v>
      </c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</row>
    <row r="35" spans="1:57" s="391" customFormat="1" ht="51" x14ac:dyDescent="0.25">
      <c r="A35" s="732"/>
      <c r="B35" s="738"/>
      <c r="C35" s="735"/>
      <c r="D35" s="732"/>
      <c r="E35" s="735"/>
      <c r="F35" s="190" t="s">
        <v>437</v>
      </c>
      <c r="G35" s="190" t="s">
        <v>941</v>
      </c>
      <c r="H35" s="193">
        <v>75</v>
      </c>
      <c r="I35" s="193" t="s">
        <v>942</v>
      </c>
      <c r="J35" s="193" t="s">
        <v>943</v>
      </c>
      <c r="K35" s="194">
        <v>0</v>
      </c>
      <c r="L35" s="376">
        <f>+K35/8</f>
        <v>0</v>
      </c>
      <c r="M35" s="377">
        <v>4</v>
      </c>
      <c r="N35" s="376">
        <f>+M35/8</f>
        <v>0.5</v>
      </c>
      <c r="O35" s="194">
        <v>6</v>
      </c>
      <c r="P35" s="376">
        <f>+O35/8</f>
        <v>0.75</v>
      </c>
      <c r="Q35" s="194">
        <v>8</v>
      </c>
      <c r="R35" s="376">
        <f>+Q35/8</f>
        <v>1</v>
      </c>
      <c r="S35" s="378">
        <v>100000</v>
      </c>
      <c r="T35" s="194">
        <v>0</v>
      </c>
      <c r="U35" s="379">
        <v>0</v>
      </c>
      <c r="V35" s="378">
        <v>50000</v>
      </c>
      <c r="W35" s="379">
        <v>0.5</v>
      </c>
      <c r="X35" s="378">
        <v>25000</v>
      </c>
      <c r="Y35" s="379">
        <v>0.25</v>
      </c>
      <c r="Z35" s="378">
        <v>25000</v>
      </c>
      <c r="AA35" s="379">
        <v>0.25</v>
      </c>
      <c r="AB35" s="378">
        <v>100000</v>
      </c>
      <c r="AC35" s="379">
        <v>1</v>
      </c>
      <c r="AD35" s="378"/>
      <c r="AE35" s="379"/>
      <c r="AF35" s="194"/>
      <c r="AG35" s="194"/>
      <c r="AH35" s="194"/>
      <c r="AI35" s="194"/>
      <c r="AJ35" s="194"/>
      <c r="AK35" s="194"/>
      <c r="AL35" s="194"/>
      <c r="AM35" s="194"/>
      <c r="AN35" s="780"/>
      <c r="AO35" s="766"/>
      <c r="AP35" s="193" t="s">
        <v>937</v>
      </c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</row>
    <row r="36" spans="1:57" s="391" customFormat="1" ht="63.75" x14ac:dyDescent="0.25">
      <c r="A36" s="733"/>
      <c r="B36" s="739"/>
      <c r="C36" s="736"/>
      <c r="D36" s="733"/>
      <c r="E36" s="736"/>
      <c r="F36" s="190" t="s">
        <v>438</v>
      </c>
      <c r="G36" s="190" t="s">
        <v>439</v>
      </c>
      <c r="H36" s="194">
        <v>0</v>
      </c>
      <c r="I36" s="193" t="s">
        <v>494</v>
      </c>
      <c r="J36" s="193" t="s">
        <v>495</v>
      </c>
      <c r="K36" s="194">
        <v>2</v>
      </c>
      <c r="L36" s="376">
        <f>+K36/8</f>
        <v>0.25</v>
      </c>
      <c r="M36" s="377">
        <v>4</v>
      </c>
      <c r="N36" s="376">
        <f>+M36/8</f>
        <v>0.5</v>
      </c>
      <c r="O36" s="194">
        <v>6</v>
      </c>
      <c r="P36" s="376">
        <f>+O36/8</f>
        <v>0.75</v>
      </c>
      <c r="Q36" s="194">
        <v>8</v>
      </c>
      <c r="R36" s="376">
        <f>+Q36/8</f>
        <v>1</v>
      </c>
      <c r="S36" s="378">
        <v>100000</v>
      </c>
      <c r="T36" s="378">
        <v>25000</v>
      </c>
      <c r="U36" s="379">
        <v>0.25</v>
      </c>
      <c r="V36" s="378">
        <v>25000</v>
      </c>
      <c r="W36" s="379">
        <v>0.25</v>
      </c>
      <c r="X36" s="378">
        <v>25000</v>
      </c>
      <c r="Y36" s="379">
        <v>0.25</v>
      </c>
      <c r="Z36" s="378">
        <v>25000</v>
      </c>
      <c r="AA36" s="379">
        <v>0.25</v>
      </c>
      <c r="AB36" s="378">
        <v>100000</v>
      </c>
      <c r="AC36" s="379">
        <v>1</v>
      </c>
      <c r="AD36" s="378"/>
      <c r="AE36" s="379"/>
      <c r="AF36" s="194"/>
      <c r="AG36" s="194"/>
      <c r="AH36" s="194"/>
      <c r="AI36" s="194"/>
      <c r="AJ36" s="194"/>
      <c r="AK36" s="194"/>
      <c r="AL36" s="194"/>
      <c r="AM36" s="194"/>
      <c r="AN36" s="781"/>
      <c r="AO36" s="767"/>
      <c r="AP36" s="193" t="s">
        <v>937</v>
      </c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</row>
    <row r="37" spans="1:57" x14ac:dyDescent="0.25">
      <c r="F37" s="392"/>
      <c r="G37" s="392"/>
      <c r="H37" s="393"/>
      <c r="I37" s="392"/>
      <c r="J37" s="392"/>
      <c r="K37" s="392"/>
      <c r="L37" s="392"/>
      <c r="M37" s="394"/>
      <c r="N37" s="394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</row>
    <row r="38" spans="1:57" x14ac:dyDescent="0.25">
      <c r="F38" s="380"/>
      <c r="G38" s="380"/>
      <c r="H38" s="395"/>
      <c r="I38" s="380"/>
      <c r="J38" s="380"/>
      <c r="K38" s="380"/>
      <c r="L38" s="380"/>
      <c r="M38" s="396"/>
      <c r="N38" s="396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</row>
    <row r="39" spans="1:57" x14ac:dyDescent="0.25">
      <c r="F39" s="380"/>
      <c r="G39" s="380"/>
      <c r="H39" s="395"/>
      <c r="I39" s="380"/>
      <c r="J39" s="380"/>
      <c r="K39" s="380"/>
      <c r="L39" s="380"/>
      <c r="M39" s="396"/>
      <c r="N39" s="396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0"/>
      <c r="BC39" s="380"/>
      <c r="BD39" s="380"/>
      <c r="BE39" s="380"/>
    </row>
    <row r="40" spans="1:57" x14ac:dyDescent="0.25">
      <c r="F40" s="380"/>
      <c r="G40" s="380"/>
      <c r="H40" s="395"/>
      <c r="I40" s="380"/>
      <c r="J40" s="380"/>
      <c r="K40" s="380"/>
      <c r="L40" s="380"/>
      <c r="M40" s="396"/>
      <c r="N40" s="396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</row>
    <row r="41" spans="1:57" x14ac:dyDescent="0.25">
      <c r="F41" s="380"/>
      <c r="G41" s="380"/>
      <c r="H41" s="395"/>
      <c r="I41" s="380"/>
      <c r="J41" s="380"/>
      <c r="K41" s="380"/>
      <c r="L41" s="380"/>
      <c r="M41" s="396"/>
      <c r="N41" s="396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</row>
    <row r="42" spans="1:57" x14ac:dyDescent="0.25">
      <c r="F42" s="380"/>
      <c r="G42" s="380"/>
      <c r="H42" s="395"/>
      <c r="I42" s="380"/>
      <c r="J42" s="380"/>
      <c r="K42" s="380"/>
      <c r="L42" s="380"/>
      <c r="M42" s="396"/>
      <c r="N42" s="396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</row>
    <row r="43" spans="1:57" x14ac:dyDescent="0.25">
      <c r="F43" s="380"/>
      <c r="G43" s="380"/>
      <c r="H43" s="395"/>
      <c r="I43" s="380"/>
      <c r="J43" s="380"/>
      <c r="K43" s="380"/>
      <c r="L43" s="380"/>
      <c r="M43" s="396"/>
      <c r="N43" s="396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</row>
    <row r="44" spans="1:57" x14ac:dyDescent="0.25">
      <c r="F44" s="380"/>
      <c r="G44" s="380"/>
      <c r="H44" s="395"/>
      <c r="I44" s="380"/>
      <c r="J44" s="380"/>
      <c r="K44" s="380"/>
      <c r="L44" s="380"/>
      <c r="M44" s="396"/>
      <c r="N44" s="396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</row>
  </sheetData>
  <mergeCells count="85">
    <mergeCell ref="AP28:AP29"/>
    <mergeCell ref="AP30:AP31"/>
    <mergeCell ref="E32:E36"/>
    <mergeCell ref="AN32:AN36"/>
    <mergeCell ref="AN19:AN31"/>
    <mergeCell ref="F24:F25"/>
    <mergeCell ref="G24:G25"/>
    <mergeCell ref="U28:U29"/>
    <mergeCell ref="V28:V29"/>
    <mergeCell ref="W28:W29"/>
    <mergeCell ref="X28:X29"/>
    <mergeCell ref="Y28:Y29"/>
    <mergeCell ref="Z28:Z29"/>
    <mergeCell ref="AA28:AA29"/>
    <mergeCell ref="AI28:AI29"/>
    <mergeCell ref="D26:D27"/>
    <mergeCell ref="D28:D31"/>
    <mergeCell ref="G28:G29"/>
    <mergeCell ref="S28:S29"/>
    <mergeCell ref="T28:T29"/>
    <mergeCell ref="AK7:AK8"/>
    <mergeCell ref="AL7:AL8"/>
    <mergeCell ref="AM7:AM8"/>
    <mergeCell ref="E9:E13"/>
    <mergeCell ref="AN9:AN18"/>
    <mergeCell ref="E14:E18"/>
    <mergeCell ref="AD7:AD8"/>
    <mergeCell ref="AE7:AE8"/>
    <mergeCell ref="AF7:AF8"/>
    <mergeCell ref="AI7:AI8"/>
    <mergeCell ref="AJ7:AJ8"/>
    <mergeCell ref="F4:F5"/>
    <mergeCell ref="AN4:AN8"/>
    <mergeCell ref="AO4:AO36"/>
    <mergeCell ref="H7:H8"/>
    <mergeCell ref="I7:I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T1:AA1"/>
    <mergeCell ref="AB1:AM1"/>
    <mergeCell ref="AN1:AP2"/>
    <mergeCell ref="T2:U2"/>
    <mergeCell ref="V2:W2"/>
    <mergeCell ref="X2:Y2"/>
    <mergeCell ref="Z2:AA2"/>
    <mergeCell ref="AB2:AC2"/>
    <mergeCell ref="AD2:AF2"/>
    <mergeCell ref="AG2:AH2"/>
    <mergeCell ref="AI2:AJ2"/>
    <mergeCell ref="AK2:AM2"/>
    <mergeCell ref="A1:A3"/>
    <mergeCell ref="B1:B3"/>
    <mergeCell ref="C1:C3"/>
    <mergeCell ref="D1:D3"/>
    <mergeCell ref="E1:E3"/>
    <mergeCell ref="K2:L2"/>
    <mergeCell ref="M2:N2"/>
    <mergeCell ref="O2:P2"/>
    <mergeCell ref="Q2:R2"/>
    <mergeCell ref="F1:F3"/>
    <mergeCell ref="S1:S3"/>
    <mergeCell ref="A4:A36"/>
    <mergeCell ref="C32:C36"/>
    <mergeCell ref="D32:D36"/>
    <mergeCell ref="D14:D18"/>
    <mergeCell ref="B4:B36"/>
    <mergeCell ref="C4:C31"/>
    <mergeCell ref="D4:D13"/>
    <mergeCell ref="E4:E8"/>
    <mergeCell ref="D19:D25"/>
    <mergeCell ref="E19:E31"/>
    <mergeCell ref="G1:G3"/>
    <mergeCell ref="H1:H3"/>
    <mergeCell ref="I1:I3"/>
    <mergeCell ref="J1:J3"/>
    <mergeCell ref="L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opLeftCell="B10" workbookViewId="0">
      <selection activeCell="AQ4" sqref="AQ4"/>
    </sheetView>
  </sheetViews>
  <sheetFormatPr baseColWidth="10" defaultRowHeight="15" x14ac:dyDescent="0.25"/>
  <cols>
    <col min="1" max="1" width="13.140625" customWidth="1"/>
    <col min="3" max="3" width="11.42578125" customWidth="1"/>
    <col min="5" max="5" width="32.85546875" customWidth="1"/>
    <col min="6" max="6" width="30.28515625" customWidth="1"/>
    <col min="7" max="7" width="15.28515625" customWidth="1"/>
    <col min="8" max="9" width="20" customWidth="1"/>
    <col min="10" max="10" width="20.140625" customWidth="1"/>
    <col min="11" max="11" width="8.140625" customWidth="1"/>
    <col min="12" max="12" width="6.140625" customWidth="1"/>
    <col min="13" max="13" width="8.85546875" customWidth="1"/>
    <col min="14" max="14" width="7.5703125" customWidth="1"/>
    <col min="15" max="15" width="8.5703125" customWidth="1"/>
    <col min="16" max="16" width="6" customWidth="1"/>
    <col min="17" max="17" width="7.42578125" customWidth="1"/>
    <col min="18" max="18" width="4.85546875" customWidth="1"/>
    <col min="20" max="20" width="17" customWidth="1"/>
    <col min="21" max="22" width="11.5703125" bestFit="1" customWidth="1"/>
    <col min="23" max="23" width="13.28515625" customWidth="1"/>
    <col min="24" max="25" width="11.5703125" bestFit="1" customWidth="1"/>
    <col min="26" max="26" width="5.5703125" customWidth="1"/>
    <col min="27" max="27" width="11.5703125" bestFit="1" customWidth="1"/>
    <col min="28" max="28" width="4.5703125" customWidth="1"/>
    <col min="29" max="29" width="13.85546875" customWidth="1"/>
    <col min="30" max="30" width="11.5703125" bestFit="1" customWidth="1"/>
    <col min="31" max="31" width="13.140625" customWidth="1"/>
    <col min="32" max="32" width="8.42578125" customWidth="1"/>
    <col min="34" max="34" width="6.42578125" customWidth="1"/>
    <col min="35" max="35" width="5.85546875" customWidth="1"/>
    <col min="36" max="36" width="11.42578125" customWidth="1"/>
    <col min="38" max="38" width="13.42578125" customWidth="1"/>
    <col min="39" max="39" width="15.28515625" customWidth="1"/>
    <col min="40" max="40" width="13.5703125" customWidth="1"/>
    <col min="41" max="41" width="14.28515625" customWidth="1"/>
  </cols>
  <sheetData>
    <row r="1" spans="1:43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6</v>
      </c>
      <c r="H1" s="661" t="s">
        <v>7</v>
      </c>
      <c r="I1" s="661" t="s">
        <v>8</v>
      </c>
      <c r="J1" s="662" t="s">
        <v>9</v>
      </c>
      <c r="K1" s="58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6"/>
      <c r="AO1" s="654" t="s">
        <v>15</v>
      </c>
      <c r="AP1" s="655"/>
      <c r="AQ1" s="656"/>
    </row>
    <row r="2" spans="1:43" x14ac:dyDescent="0.25">
      <c r="A2" s="648"/>
      <c r="B2" s="649"/>
      <c r="C2" s="649"/>
      <c r="D2" s="649"/>
      <c r="E2" s="649"/>
      <c r="F2" s="649"/>
      <c r="G2" s="649"/>
      <c r="H2" s="649"/>
      <c r="I2" s="649"/>
      <c r="J2" s="653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53"/>
      <c r="AO2" s="657"/>
      <c r="AP2" s="658"/>
      <c r="AQ2" s="659"/>
    </row>
    <row r="3" spans="1:43" ht="24" x14ac:dyDescent="0.25">
      <c r="A3" s="677"/>
      <c r="B3" s="678"/>
      <c r="C3" s="678"/>
      <c r="D3" s="678"/>
      <c r="E3" s="678"/>
      <c r="F3" s="678"/>
      <c r="G3" s="678"/>
      <c r="H3" s="678"/>
      <c r="I3" s="678"/>
      <c r="J3" s="680"/>
      <c r="K3" s="56" t="s">
        <v>21</v>
      </c>
      <c r="L3" s="54" t="s">
        <v>22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  <c r="S3" s="669"/>
      <c r="T3" s="667"/>
      <c r="U3" s="56" t="s">
        <v>23</v>
      </c>
      <c r="V3" s="54" t="s">
        <v>22</v>
      </c>
      <c r="W3" s="54" t="s">
        <v>23</v>
      </c>
      <c r="X3" s="54" t="s">
        <v>22</v>
      </c>
      <c r="Y3" s="54" t="s">
        <v>23</v>
      </c>
      <c r="Z3" s="54" t="s">
        <v>22</v>
      </c>
      <c r="AA3" s="54" t="s">
        <v>23</v>
      </c>
      <c r="AB3" s="57" t="s">
        <v>22</v>
      </c>
      <c r="AC3" s="56" t="s">
        <v>23</v>
      </c>
      <c r="AD3" s="54" t="s">
        <v>22</v>
      </c>
      <c r="AE3" s="54" t="s">
        <v>23</v>
      </c>
      <c r="AF3" s="54" t="s">
        <v>22</v>
      </c>
      <c r="AG3" s="54" t="s">
        <v>24</v>
      </c>
      <c r="AH3" s="54" t="s">
        <v>23</v>
      </c>
      <c r="AI3" s="54" t="s">
        <v>22</v>
      </c>
      <c r="AJ3" s="59" t="s">
        <v>23</v>
      </c>
      <c r="AK3" s="59" t="s">
        <v>22</v>
      </c>
      <c r="AL3" s="55" t="s">
        <v>23</v>
      </c>
      <c r="AM3" s="54" t="s">
        <v>22</v>
      </c>
      <c r="AN3" s="79" t="s">
        <v>25</v>
      </c>
      <c r="AO3" s="60" t="s">
        <v>109</v>
      </c>
      <c r="AP3" s="60" t="s">
        <v>113</v>
      </c>
      <c r="AQ3" s="60" t="s">
        <v>111</v>
      </c>
    </row>
    <row r="4" spans="1:43" ht="45" x14ac:dyDescent="0.25">
      <c r="A4" s="693" t="s">
        <v>26</v>
      </c>
      <c r="B4" s="693" t="s">
        <v>496</v>
      </c>
      <c r="C4" s="693" t="s">
        <v>497</v>
      </c>
      <c r="D4" s="693" t="s">
        <v>498</v>
      </c>
      <c r="E4" s="100" t="s">
        <v>499</v>
      </c>
      <c r="F4" s="186" t="s">
        <v>500</v>
      </c>
      <c r="G4" s="61"/>
      <c r="H4" s="189">
        <v>770</v>
      </c>
      <c r="I4" s="133" t="s">
        <v>537</v>
      </c>
      <c r="J4" s="133" t="s">
        <v>538</v>
      </c>
      <c r="K4" s="61">
        <v>840</v>
      </c>
      <c r="L4" s="208">
        <f>SUM(K4*100)/3600</f>
        <v>23.333333333333332</v>
      </c>
      <c r="M4" s="61">
        <v>880</v>
      </c>
      <c r="N4" s="208">
        <f>SUM(M4*100)/3600</f>
        <v>24.444444444444443</v>
      </c>
      <c r="O4" s="61">
        <v>920</v>
      </c>
      <c r="P4" s="208">
        <f>SUM(O4*100)/3600</f>
        <v>25.555555555555557</v>
      </c>
      <c r="Q4" s="61">
        <v>960</v>
      </c>
      <c r="R4" s="208">
        <f>SUM(Q4*100)/3600</f>
        <v>26.666666666666668</v>
      </c>
      <c r="S4" s="66"/>
      <c r="T4" s="210">
        <v>260000000</v>
      </c>
      <c r="U4" s="211">
        <v>58000000</v>
      </c>
      <c r="V4" s="168">
        <f>U4*100/T4</f>
        <v>22.307692307692307</v>
      </c>
      <c r="W4" s="211">
        <v>62000000</v>
      </c>
      <c r="X4" s="168">
        <f>W4*100/T4</f>
        <v>23.846153846153847</v>
      </c>
      <c r="Y4" s="211">
        <v>65000000</v>
      </c>
      <c r="Z4" s="212">
        <f>Y4*100/T4</f>
        <v>25</v>
      </c>
      <c r="AA4" s="211">
        <v>65000000</v>
      </c>
      <c r="AB4" s="208">
        <f>AA4*100/T4</f>
        <v>25</v>
      </c>
      <c r="AC4" s="211">
        <v>200000000</v>
      </c>
      <c r="AD4" s="168">
        <f>SUM(AC4*100/T4)</f>
        <v>76.92307692307692</v>
      </c>
      <c r="AE4" s="211">
        <v>0</v>
      </c>
      <c r="AF4" s="208">
        <f>SUM(AE4*100/T4)</f>
        <v>0</v>
      </c>
      <c r="AG4" s="61"/>
      <c r="AH4" s="61">
        <v>0</v>
      </c>
      <c r="AI4" s="208">
        <f>SUM(AH4*100/T4)</f>
        <v>0</v>
      </c>
      <c r="AJ4" s="69"/>
      <c r="AK4" s="70"/>
      <c r="AL4" s="211">
        <v>60000000</v>
      </c>
      <c r="AM4" s="208">
        <f>SUM(AL4*100)/V4</f>
        <v>268965517.24137932</v>
      </c>
      <c r="AN4" s="61" t="s">
        <v>587</v>
      </c>
      <c r="AO4" s="209" t="s">
        <v>591</v>
      </c>
      <c r="AP4" s="693" t="s">
        <v>26</v>
      </c>
      <c r="AQ4" s="414" t="s">
        <v>1112</v>
      </c>
    </row>
    <row r="5" spans="1:43" ht="60" x14ac:dyDescent="0.25">
      <c r="A5" s="693"/>
      <c r="B5" s="693"/>
      <c r="C5" s="693"/>
      <c r="D5" s="693"/>
      <c r="E5" s="53"/>
      <c r="F5" s="100" t="s">
        <v>501</v>
      </c>
      <c r="G5" s="61"/>
      <c r="H5" s="189">
        <v>0</v>
      </c>
      <c r="I5" s="133" t="s">
        <v>539</v>
      </c>
      <c r="J5" s="133" t="s">
        <v>540</v>
      </c>
      <c r="K5" s="61">
        <v>0</v>
      </c>
      <c r="L5" s="208">
        <v>0</v>
      </c>
      <c r="M5" s="61">
        <v>0</v>
      </c>
      <c r="N5" s="208"/>
      <c r="O5" s="61">
        <v>1</v>
      </c>
      <c r="P5" s="208">
        <v>100</v>
      </c>
      <c r="Q5" s="61"/>
      <c r="R5" s="208"/>
      <c r="S5" s="66"/>
      <c r="T5" s="210">
        <v>100000000</v>
      </c>
      <c r="U5" s="211">
        <v>15000000</v>
      </c>
      <c r="V5" s="168">
        <f>U5*100/T5</f>
        <v>15</v>
      </c>
      <c r="W5" s="211">
        <v>20000000</v>
      </c>
      <c r="X5" s="168">
        <f>W5*100/T5</f>
        <v>20</v>
      </c>
      <c r="Y5" s="211">
        <v>50000000</v>
      </c>
      <c r="Z5" s="212"/>
      <c r="AA5" s="211">
        <v>15000000</v>
      </c>
      <c r="AB5" s="208"/>
      <c r="AC5" s="211">
        <v>100000000</v>
      </c>
      <c r="AD5" s="168"/>
      <c r="AE5" s="211"/>
      <c r="AF5" s="208"/>
      <c r="AG5" s="61"/>
      <c r="AH5" s="61"/>
      <c r="AI5" s="208"/>
      <c r="AJ5" s="69"/>
      <c r="AK5" s="70"/>
      <c r="AL5" s="211"/>
      <c r="AM5" s="208"/>
      <c r="AN5" s="61"/>
      <c r="AO5" s="209" t="s">
        <v>592</v>
      </c>
      <c r="AP5" s="693"/>
      <c r="AQ5" s="413" t="s">
        <v>1112</v>
      </c>
    </row>
    <row r="6" spans="1:43" ht="60" x14ac:dyDescent="0.25">
      <c r="A6" s="693"/>
      <c r="B6" s="693"/>
      <c r="C6" s="693"/>
      <c r="D6" s="693"/>
      <c r="E6" s="100" t="s">
        <v>502</v>
      </c>
      <c r="F6" s="186" t="s">
        <v>503</v>
      </c>
      <c r="G6" s="133"/>
      <c r="H6" s="132">
        <v>1254</v>
      </c>
      <c r="I6" s="132" t="s">
        <v>541</v>
      </c>
      <c r="J6" s="133" t="s">
        <v>542</v>
      </c>
      <c r="K6" s="61">
        <v>1275</v>
      </c>
      <c r="L6" s="208">
        <f>SUM(K6*100)/5200</f>
        <v>24.51923076923077</v>
      </c>
      <c r="M6" s="61">
        <v>1295</v>
      </c>
      <c r="N6" s="208">
        <f>SUM(M6*100)/5200</f>
        <v>24.903846153846153</v>
      </c>
      <c r="O6" s="61">
        <v>1310</v>
      </c>
      <c r="P6" s="208">
        <f>SUM(O6*100)/5200</f>
        <v>25.192307692307693</v>
      </c>
      <c r="Q6" s="61">
        <v>1320</v>
      </c>
      <c r="R6" s="208">
        <f>SUM(Q6*100)/5200</f>
        <v>25.384615384615383</v>
      </c>
      <c r="S6" s="66"/>
      <c r="T6" s="210">
        <v>203000000</v>
      </c>
      <c r="U6" s="213">
        <v>45000000</v>
      </c>
      <c r="V6" s="168">
        <f t="shared" ref="V6:V30" si="0">U6*100/T6</f>
        <v>22.167487684729064</v>
      </c>
      <c r="W6" s="213">
        <v>50000000</v>
      </c>
      <c r="X6" s="168">
        <f t="shared" ref="X6:X30" si="1">W6*100/T6</f>
        <v>24.630541871921181</v>
      </c>
      <c r="Y6" s="213">
        <v>52000000</v>
      </c>
      <c r="Z6" s="212">
        <f t="shared" ref="Z6:Z30" si="2">Y6*100/T6</f>
        <v>25.615763546798028</v>
      </c>
      <c r="AA6" s="213">
        <v>53000000</v>
      </c>
      <c r="AB6" s="208">
        <f t="shared" ref="AB6:AB30" si="3">AA6*100/T6</f>
        <v>26.108374384236452</v>
      </c>
      <c r="AC6" s="211">
        <v>30000000</v>
      </c>
      <c r="AD6" s="168">
        <f t="shared" ref="AD6:AD30" si="4">SUM(AC6*100/T6)</f>
        <v>14.77832512315271</v>
      </c>
      <c r="AE6" s="211">
        <v>120000000</v>
      </c>
      <c r="AF6" s="208">
        <f t="shared" ref="AF6:AF30" si="5">SUM(AE6*100/T6)</f>
        <v>59.11330049261084</v>
      </c>
      <c r="AG6" s="133"/>
      <c r="AH6" s="61"/>
      <c r="AI6" s="208">
        <f t="shared" ref="AI6:AI30" si="6">SUM(AH6*100/T6)</f>
        <v>0</v>
      </c>
      <c r="AJ6" s="71"/>
      <c r="AK6" s="70"/>
      <c r="AL6" s="211">
        <v>53000000</v>
      </c>
      <c r="AM6" s="208">
        <f t="shared" ref="AM6:AM30" si="7">SUM(AL6*100)/V6</f>
        <v>239088888.8888889</v>
      </c>
      <c r="AN6" s="189" t="s">
        <v>587</v>
      </c>
      <c r="AO6" s="209" t="s">
        <v>591</v>
      </c>
      <c r="AP6" s="693"/>
      <c r="AQ6" s="413" t="s">
        <v>1112</v>
      </c>
    </row>
    <row r="7" spans="1:43" ht="45" x14ac:dyDescent="0.25">
      <c r="A7" s="693"/>
      <c r="B7" s="693"/>
      <c r="C7" s="693"/>
      <c r="D7" s="693"/>
      <c r="E7" s="100" t="s">
        <v>504</v>
      </c>
      <c r="F7" s="186" t="s">
        <v>505</v>
      </c>
      <c r="G7" s="133"/>
      <c r="H7" s="132">
        <v>1460</v>
      </c>
      <c r="I7" s="133" t="s">
        <v>543</v>
      </c>
      <c r="J7" s="133" t="s">
        <v>544</v>
      </c>
      <c r="K7" s="61">
        <v>1470</v>
      </c>
      <c r="L7" s="208">
        <f>SUM(K7*100)/6000</f>
        <v>24.5</v>
      </c>
      <c r="M7" s="61">
        <v>1500</v>
      </c>
      <c r="N7" s="208">
        <f>SUM(M7*100)/6000</f>
        <v>25</v>
      </c>
      <c r="O7" s="61">
        <v>1510</v>
      </c>
      <c r="P7" s="208">
        <f>SUM(O7*100)/6000</f>
        <v>25.166666666666668</v>
      </c>
      <c r="Q7" s="61">
        <v>1520</v>
      </c>
      <c r="R7" s="208">
        <f>SUM(Q7*100)/6000</f>
        <v>25.333333333333332</v>
      </c>
      <c r="S7" s="66"/>
      <c r="T7" s="210">
        <v>180000000</v>
      </c>
      <c r="U7" s="213">
        <v>45000000</v>
      </c>
      <c r="V7" s="168">
        <f t="shared" si="0"/>
        <v>25</v>
      </c>
      <c r="W7" s="213">
        <v>45000000</v>
      </c>
      <c r="X7" s="168">
        <f t="shared" si="1"/>
        <v>25</v>
      </c>
      <c r="Y7" s="213">
        <v>45000000</v>
      </c>
      <c r="Z7" s="212">
        <f t="shared" si="2"/>
        <v>25</v>
      </c>
      <c r="AA7" s="213">
        <v>45000000</v>
      </c>
      <c r="AB7" s="208">
        <f t="shared" si="3"/>
        <v>25</v>
      </c>
      <c r="AC7" s="211">
        <v>100000000</v>
      </c>
      <c r="AD7" s="168">
        <f t="shared" si="4"/>
        <v>55.555555555555557</v>
      </c>
      <c r="AE7" s="211">
        <v>40000000</v>
      </c>
      <c r="AF7" s="208">
        <f t="shared" si="5"/>
        <v>22.222222222222221</v>
      </c>
      <c r="AG7" s="133"/>
      <c r="AH7" s="61"/>
      <c r="AI7" s="208">
        <f t="shared" si="6"/>
        <v>0</v>
      </c>
      <c r="AJ7" s="69"/>
      <c r="AK7" s="70"/>
      <c r="AL7" s="211">
        <v>40000000</v>
      </c>
      <c r="AM7" s="208">
        <f t="shared" si="7"/>
        <v>160000000</v>
      </c>
      <c r="AN7" s="189" t="s">
        <v>587</v>
      </c>
      <c r="AO7" s="209" t="s">
        <v>591</v>
      </c>
      <c r="AP7" s="693"/>
      <c r="AQ7" s="413" t="s">
        <v>1112</v>
      </c>
    </row>
    <row r="8" spans="1:43" ht="60" x14ac:dyDescent="0.25">
      <c r="A8" s="693"/>
      <c r="B8" s="693"/>
      <c r="C8" s="693"/>
      <c r="D8" s="693"/>
      <c r="E8" s="782" t="s">
        <v>506</v>
      </c>
      <c r="F8" s="186" t="s">
        <v>507</v>
      </c>
      <c r="G8" s="133"/>
      <c r="H8" s="132">
        <v>120</v>
      </c>
      <c r="I8" s="133" t="s">
        <v>545</v>
      </c>
      <c r="J8" s="133" t="s">
        <v>546</v>
      </c>
      <c r="K8" s="61">
        <v>125</v>
      </c>
      <c r="L8" s="208">
        <f>SUM(K8*100)/600</f>
        <v>20.833333333333332</v>
      </c>
      <c r="M8" s="61">
        <v>135</v>
      </c>
      <c r="N8" s="208">
        <f>SUM(M8*100)/600</f>
        <v>22.5</v>
      </c>
      <c r="O8" s="61">
        <v>160</v>
      </c>
      <c r="P8" s="208">
        <f>SUM(O8*100)/600</f>
        <v>26.666666666666668</v>
      </c>
      <c r="Q8" s="61">
        <v>180</v>
      </c>
      <c r="R8" s="208">
        <f>SUM(Q8*100)/600</f>
        <v>30</v>
      </c>
      <c r="S8" s="66"/>
      <c r="T8" s="210">
        <v>80000000</v>
      </c>
      <c r="U8" s="213">
        <v>7000000</v>
      </c>
      <c r="V8" s="168">
        <f t="shared" si="0"/>
        <v>8.75</v>
      </c>
      <c r="W8" s="213">
        <v>8000000</v>
      </c>
      <c r="X8" s="168">
        <f t="shared" si="1"/>
        <v>10</v>
      </c>
      <c r="Y8" s="213">
        <v>7000000</v>
      </c>
      <c r="Z8" s="212">
        <f t="shared" si="2"/>
        <v>8.75</v>
      </c>
      <c r="AA8" s="213">
        <v>8000000</v>
      </c>
      <c r="AB8" s="208">
        <f t="shared" si="3"/>
        <v>10</v>
      </c>
      <c r="AC8" s="211">
        <v>35000000</v>
      </c>
      <c r="AD8" s="168">
        <f t="shared" si="4"/>
        <v>43.75</v>
      </c>
      <c r="AE8" s="211"/>
      <c r="AF8" s="208">
        <f t="shared" si="5"/>
        <v>0</v>
      </c>
      <c r="AG8" s="133"/>
      <c r="AH8" s="61"/>
      <c r="AI8" s="208">
        <f t="shared" si="6"/>
        <v>0</v>
      </c>
      <c r="AJ8" s="71"/>
      <c r="AK8" s="70"/>
      <c r="AL8" s="211">
        <v>45000000</v>
      </c>
      <c r="AM8" s="208">
        <f t="shared" si="7"/>
        <v>514285714.28571427</v>
      </c>
      <c r="AN8" s="219" t="s">
        <v>588</v>
      </c>
      <c r="AO8" s="209" t="s">
        <v>591</v>
      </c>
      <c r="AP8" s="693"/>
      <c r="AQ8" s="413" t="s">
        <v>1112</v>
      </c>
    </row>
    <row r="9" spans="1:43" ht="30" x14ac:dyDescent="0.25">
      <c r="A9" s="693"/>
      <c r="B9" s="693"/>
      <c r="C9" s="693"/>
      <c r="D9" s="693"/>
      <c r="E9" s="782"/>
      <c r="F9" s="186" t="s">
        <v>508</v>
      </c>
      <c r="G9" s="133"/>
      <c r="H9" s="132">
        <v>1</v>
      </c>
      <c r="I9" s="133" t="s">
        <v>547</v>
      </c>
      <c r="J9" s="133" t="s">
        <v>548</v>
      </c>
      <c r="K9" s="61"/>
      <c r="L9" s="208"/>
      <c r="M9" s="61">
        <v>2</v>
      </c>
      <c r="N9" s="208"/>
      <c r="O9" s="61">
        <v>1</v>
      </c>
      <c r="P9" s="208"/>
      <c r="Q9" s="61"/>
      <c r="R9" s="208"/>
      <c r="S9" s="66"/>
      <c r="T9" s="210">
        <v>220000</v>
      </c>
      <c r="U9" s="213"/>
      <c r="V9" s="168"/>
      <c r="W9" s="213">
        <v>130000000</v>
      </c>
      <c r="X9" s="168">
        <f t="shared" si="1"/>
        <v>59090.909090909088</v>
      </c>
      <c r="Y9" s="213"/>
      <c r="Z9" s="212"/>
      <c r="AA9" s="213"/>
      <c r="AB9" s="208"/>
      <c r="AC9" s="211">
        <v>60000000</v>
      </c>
      <c r="AD9" s="168">
        <f t="shared" si="4"/>
        <v>27272.727272727272</v>
      </c>
      <c r="AE9" s="211"/>
      <c r="AF9" s="208">
        <f t="shared" si="5"/>
        <v>0</v>
      </c>
      <c r="AG9" s="133"/>
      <c r="AH9" s="61"/>
      <c r="AI9" s="208">
        <f t="shared" si="6"/>
        <v>0</v>
      </c>
      <c r="AJ9" s="71"/>
      <c r="AK9" s="70"/>
      <c r="AL9" s="211">
        <v>160000000</v>
      </c>
      <c r="AM9" s="208" t="e">
        <f t="shared" si="7"/>
        <v>#DIV/0!</v>
      </c>
      <c r="AN9" s="189" t="s">
        <v>589</v>
      </c>
      <c r="AO9" s="209"/>
      <c r="AP9" s="693"/>
      <c r="AQ9" s="413" t="s">
        <v>1112</v>
      </c>
    </row>
    <row r="10" spans="1:43" ht="45" x14ac:dyDescent="0.25">
      <c r="A10" s="693"/>
      <c r="B10" s="693"/>
      <c r="C10" s="693"/>
      <c r="D10" s="693"/>
      <c r="E10" s="782"/>
      <c r="F10" s="186" t="s">
        <v>509</v>
      </c>
      <c r="G10" s="133"/>
      <c r="H10" s="132">
        <v>40</v>
      </c>
      <c r="I10" s="133" t="s">
        <v>549</v>
      </c>
      <c r="J10" s="133" t="s">
        <v>542</v>
      </c>
      <c r="K10" s="61">
        <v>40</v>
      </c>
      <c r="L10" s="208">
        <f>SUM(K10*100)/200</f>
        <v>20</v>
      </c>
      <c r="M10" s="61">
        <v>45</v>
      </c>
      <c r="N10" s="208">
        <f>SUM(M10*100)/200</f>
        <v>22.5</v>
      </c>
      <c r="O10" s="61">
        <v>55</v>
      </c>
      <c r="P10" s="208">
        <f>SUM(O10*100)/200</f>
        <v>27.5</v>
      </c>
      <c r="Q10" s="61">
        <v>60</v>
      </c>
      <c r="R10" s="208">
        <f>SUM(Q10*100)/200</f>
        <v>30</v>
      </c>
      <c r="S10" s="66"/>
      <c r="T10" s="210">
        <v>8000000</v>
      </c>
      <c r="U10" s="213">
        <v>2000000</v>
      </c>
      <c r="V10" s="168">
        <f t="shared" si="0"/>
        <v>25</v>
      </c>
      <c r="W10" s="213">
        <v>2000000</v>
      </c>
      <c r="X10" s="168">
        <f t="shared" si="1"/>
        <v>25</v>
      </c>
      <c r="Y10" s="213">
        <v>2000000</v>
      </c>
      <c r="Z10" s="212">
        <f t="shared" si="2"/>
        <v>25</v>
      </c>
      <c r="AA10" s="213">
        <v>2000000</v>
      </c>
      <c r="AB10" s="208">
        <f t="shared" si="3"/>
        <v>25</v>
      </c>
      <c r="AC10" s="211">
        <v>2000000</v>
      </c>
      <c r="AD10" s="168">
        <f t="shared" si="4"/>
        <v>25</v>
      </c>
      <c r="AE10" s="211">
        <v>2000000</v>
      </c>
      <c r="AF10" s="208">
        <f t="shared" si="5"/>
        <v>25</v>
      </c>
      <c r="AG10" s="133"/>
      <c r="AH10" s="61"/>
      <c r="AI10" s="208">
        <f t="shared" si="6"/>
        <v>0</v>
      </c>
      <c r="AJ10" s="69"/>
      <c r="AK10" s="70"/>
      <c r="AL10" s="211">
        <v>4000000</v>
      </c>
      <c r="AM10" s="208">
        <f t="shared" si="7"/>
        <v>16000000</v>
      </c>
      <c r="AN10" s="189" t="s">
        <v>587</v>
      </c>
      <c r="AO10" s="209" t="s">
        <v>591</v>
      </c>
      <c r="AP10" s="693"/>
      <c r="AQ10" s="413" t="s">
        <v>1112</v>
      </c>
    </row>
    <row r="11" spans="1:43" ht="60" x14ac:dyDescent="0.25">
      <c r="A11" s="693"/>
      <c r="B11" s="693"/>
      <c r="C11" s="693"/>
      <c r="D11" s="693"/>
      <c r="E11" s="782"/>
      <c r="F11" s="186" t="s">
        <v>510</v>
      </c>
      <c r="G11" s="133"/>
      <c r="H11" s="132">
        <v>24</v>
      </c>
      <c r="I11" s="133" t="s">
        <v>550</v>
      </c>
      <c r="J11" s="133" t="s">
        <v>551</v>
      </c>
      <c r="K11" s="61">
        <v>28</v>
      </c>
      <c r="L11" s="208">
        <f>SUM(K11*100)/135</f>
        <v>20.74074074074074</v>
      </c>
      <c r="M11" s="61">
        <v>30</v>
      </c>
      <c r="N11" s="208">
        <f>SUM(M11*100)/235</f>
        <v>12.76595744680851</v>
      </c>
      <c r="O11" s="61">
        <v>37</v>
      </c>
      <c r="P11" s="208">
        <f>SUM(O11*100)/135</f>
        <v>27.407407407407408</v>
      </c>
      <c r="Q11" s="61">
        <v>40</v>
      </c>
      <c r="R11" s="208">
        <f>SUM(Q11*100)/135</f>
        <v>29.62962962962963</v>
      </c>
      <c r="S11" s="61"/>
      <c r="T11" s="210">
        <v>5000000</v>
      </c>
      <c r="U11" s="213">
        <v>500000</v>
      </c>
      <c r="V11" s="168">
        <f t="shared" si="0"/>
        <v>10</v>
      </c>
      <c r="W11" s="213">
        <v>1500000</v>
      </c>
      <c r="X11" s="168">
        <f t="shared" si="1"/>
        <v>30</v>
      </c>
      <c r="Y11" s="213">
        <v>1500000</v>
      </c>
      <c r="Z11" s="212">
        <f t="shared" si="2"/>
        <v>30</v>
      </c>
      <c r="AA11" s="213">
        <v>1500000</v>
      </c>
      <c r="AB11" s="208">
        <f t="shared" si="3"/>
        <v>30</v>
      </c>
      <c r="AC11" s="211">
        <v>2000000</v>
      </c>
      <c r="AD11" s="168">
        <f t="shared" si="4"/>
        <v>40</v>
      </c>
      <c r="AE11" s="211">
        <v>2000000</v>
      </c>
      <c r="AF11" s="208">
        <f t="shared" si="5"/>
        <v>40</v>
      </c>
      <c r="AG11" s="133"/>
      <c r="AH11" s="61"/>
      <c r="AI11" s="208">
        <f t="shared" si="6"/>
        <v>0</v>
      </c>
      <c r="AJ11" s="61"/>
      <c r="AK11" s="61"/>
      <c r="AL11" s="211">
        <v>1000000</v>
      </c>
      <c r="AM11" s="208">
        <f t="shared" si="7"/>
        <v>10000000</v>
      </c>
      <c r="AN11" s="189" t="s">
        <v>587</v>
      </c>
      <c r="AO11" s="209" t="s">
        <v>591</v>
      </c>
      <c r="AP11" s="693"/>
      <c r="AQ11" s="413" t="s">
        <v>1112</v>
      </c>
    </row>
    <row r="12" spans="1:43" ht="45" x14ac:dyDescent="0.25">
      <c r="A12" s="693"/>
      <c r="B12" s="693"/>
      <c r="C12" s="693"/>
      <c r="D12" s="693"/>
      <c r="E12" s="782"/>
      <c r="F12" s="186" t="s">
        <v>511</v>
      </c>
      <c r="G12" s="133"/>
      <c r="H12" s="132">
        <v>60</v>
      </c>
      <c r="I12" s="133" t="s">
        <v>552</v>
      </c>
      <c r="J12" s="133" t="s">
        <v>544</v>
      </c>
      <c r="K12" s="61">
        <v>60</v>
      </c>
      <c r="L12" s="208">
        <f>SUM(K12*100)/280</f>
        <v>21.428571428571427</v>
      </c>
      <c r="M12" s="61">
        <v>67</v>
      </c>
      <c r="N12" s="208">
        <f>SUM(M12*100)/280</f>
        <v>23.928571428571427</v>
      </c>
      <c r="O12" s="61">
        <v>73</v>
      </c>
      <c r="P12" s="208">
        <f>SUM(O12*100)/280</f>
        <v>26.071428571428573</v>
      </c>
      <c r="Q12" s="61">
        <v>80</v>
      </c>
      <c r="R12" s="208">
        <f>SUM(Q12*100)/280</f>
        <v>28.571428571428573</v>
      </c>
      <c r="S12" s="61"/>
      <c r="T12" s="210">
        <v>5000000</v>
      </c>
      <c r="U12" s="213">
        <v>500000</v>
      </c>
      <c r="V12" s="168">
        <f t="shared" si="0"/>
        <v>10</v>
      </c>
      <c r="W12" s="213">
        <v>1500000</v>
      </c>
      <c r="X12" s="168">
        <f t="shared" si="1"/>
        <v>30</v>
      </c>
      <c r="Y12" s="213">
        <v>1500000</v>
      </c>
      <c r="Z12" s="212">
        <f t="shared" si="2"/>
        <v>30</v>
      </c>
      <c r="AA12" s="213">
        <v>1500000</v>
      </c>
      <c r="AB12" s="208">
        <f t="shared" si="3"/>
        <v>30</v>
      </c>
      <c r="AC12" s="211">
        <v>1000000</v>
      </c>
      <c r="AD12" s="168">
        <f t="shared" si="4"/>
        <v>20</v>
      </c>
      <c r="AE12" s="211">
        <v>1000000</v>
      </c>
      <c r="AF12" s="208">
        <f t="shared" si="5"/>
        <v>20</v>
      </c>
      <c r="AG12" s="133"/>
      <c r="AH12" s="61"/>
      <c r="AI12" s="208">
        <f t="shared" si="6"/>
        <v>0</v>
      </c>
      <c r="AJ12" s="61"/>
      <c r="AK12" s="61"/>
      <c r="AL12" s="211">
        <v>2000000</v>
      </c>
      <c r="AM12" s="208">
        <f t="shared" si="7"/>
        <v>20000000</v>
      </c>
      <c r="AN12" s="189" t="s">
        <v>587</v>
      </c>
      <c r="AO12" s="209" t="s">
        <v>591</v>
      </c>
      <c r="AP12" s="693"/>
      <c r="AQ12" s="413" t="s">
        <v>1112</v>
      </c>
    </row>
    <row r="13" spans="1:43" ht="45" x14ac:dyDescent="0.25">
      <c r="A13" s="693"/>
      <c r="B13" s="693"/>
      <c r="C13" s="693"/>
      <c r="D13" s="693"/>
      <c r="E13" s="782"/>
      <c r="F13" s="186" t="s">
        <v>512</v>
      </c>
      <c r="G13" s="133"/>
      <c r="H13" s="132">
        <v>200</v>
      </c>
      <c r="I13" s="133" t="s">
        <v>553</v>
      </c>
      <c r="J13" s="133" t="s">
        <v>544</v>
      </c>
      <c r="K13" s="61">
        <v>230</v>
      </c>
      <c r="L13" s="208">
        <f>SUM(K13*100)/1000</f>
        <v>23</v>
      </c>
      <c r="M13" s="61">
        <v>247</v>
      </c>
      <c r="N13" s="208">
        <f>SUM(M13*100)/1000</f>
        <v>24.7</v>
      </c>
      <c r="O13" s="61">
        <v>256</v>
      </c>
      <c r="P13" s="208">
        <f>SUM(O13*100)/1000</f>
        <v>25.6</v>
      </c>
      <c r="Q13" s="61">
        <v>267</v>
      </c>
      <c r="R13" s="208">
        <f>SUM(Q13*100)/1000</f>
        <v>26.7</v>
      </c>
      <c r="S13" s="61"/>
      <c r="T13" s="210">
        <v>15000000</v>
      </c>
      <c r="U13" s="213">
        <v>3500000</v>
      </c>
      <c r="V13" s="168">
        <f t="shared" si="0"/>
        <v>23.333333333333332</v>
      </c>
      <c r="W13" s="213">
        <v>3700000</v>
      </c>
      <c r="X13" s="168">
        <f t="shared" si="1"/>
        <v>24.666666666666668</v>
      </c>
      <c r="Y13" s="213">
        <v>3900000</v>
      </c>
      <c r="Z13" s="212">
        <f t="shared" si="2"/>
        <v>26</v>
      </c>
      <c r="AA13" s="213">
        <v>3900000</v>
      </c>
      <c r="AB13" s="208">
        <f t="shared" si="3"/>
        <v>26</v>
      </c>
      <c r="AC13" s="211">
        <v>10000000</v>
      </c>
      <c r="AD13" s="168">
        <f t="shared" si="4"/>
        <v>66.666666666666671</v>
      </c>
      <c r="AE13" s="211">
        <v>1000000</v>
      </c>
      <c r="AF13" s="208">
        <f t="shared" si="5"/>
        <v>6.666666666666667</v>
      </c>
      <c r="AG13" s="133"/>
      <c r="AH13" s="61"/>
      <c r="AI13" s="208">
        <f t="shared" si="6"/>
        <v>0</v>
      </c>
      <c r="AJ13" s="61"/>
      <c r="AK13" s="61"/>
      <c r="AL13" s="211">
        <v>4000000</v>
      </c>
      <c r="AM13" s="208">
        <f t="shared" si="7"/>
        <v>17142857.142857146</v>
      </c>
      <c r="AN13" s="189" t="s">
        <v>587</v>
      </c>
      <c r="AO13" s="209" t="s">
        <v>591</v>
      </c>
      <c r="AP13" s="693"/>
      <c r="AQ13" s="413" t="s">
        <v>1112</v>
      </c>
    </row>
    <row r="14" spans="1:43" ht="45" x14ac:dyDescent="0.25">
      <c r="A14" s="693"/>
      <c r="B14" s="693"/>
      <c r="C14" s="693"/>
      <c r="D14" s="693"/>
      <c r="E14" s="782"/>
      <c r="F14" s="186" t="s">
        <v>513</v>
      </c>
      <c r="G14" s="133"/>
      <c r="H14" s="132">
        <v>20</v>
      </c>
      <c r="I14" s="133" t="s">
        <v>554</v>
      </c>
      <c r="J14" s="133" t="s">
        <v>544</v>
      </c>
      <c r="K14" s="61">
        <v>20</v>
      </c>
      <c r="L14" s="208">
        <f>SUM(K14*100)/80</f>
        <v>25</v>
      </c>
      <c r="M14" s="61">
        <v>20</v>
      </c>
      <c r="N14" s="208">
        <f>SUM(M14*100)/3600</f>
        <v>0.55555555555555558</v>
      </c>
      <c r="O14" s="61">
        <v>20</v>
      </c>
      <c r="P14" s="208">
        <f>SUM(O14*100)/3600</f>
        <v>0.55555555555555558</v>
      </c>
      <c r="Q14" s="61">
        <v>20</v>
      </c>
      <c r="R14" s="208">
        <f>SUM(Q14*100)/3600</f>
        <v>0.55555555555555558</v>
      </c>
      <c r="S14" s="61"/>
      <c r="T14" s="210">
        <v>8000000</v>
      </c>
      <c r="U14" s="213">
        <v>2000000</v>
      </c>
      <c r="V14" s="168">
        <f t="shared" si="0"/>
        <v>25</v>
      </c>
      <c r="W14" s="213">
        <v>2000000</v>
      </c>
      <c r="X14" s="168">
        <f t="shared" si="1"/>
        <v>25</v>
      </c>
      <c r="Y14" s="213">
        <v>2000000</v>
      </c>
      <c r="Z14" s="212">
        <f t="shared" si="2"/>
        <v>25</v>
      </c>
      <c r="AA14" s="213">
        <v>2000000</v>
      </c>
      <c r="AB14" s="208">
        <f t="shared" si="3"/>
        <v>25</v>
      </c>
      <c r="AC14" s="211">
        <v>3000000</v>
      </c>
      <c r="AD14" s="168">
        <f t="shared" si="4"/>
        <v>37.5</v>
      </c>
      <c r="AE14" s="211">
        <v>2000000</v>
      </c>
      <c r="AF14" s="208">
        <f t="shared" si="5"/>
        <v>25</v>
      </c>
      <c r="AG14" s="133"/>
      <c r="AH14" s="61"/>
      <c r="AI14" s="208">
        <f t="shared" si="6"/>
        <v>0</v>
      </c>
      <c r="AJ14" s="61"/>
      <c r="AK14" s="61"/>
      <c r="AL14" s="211">
        <v>3000000</v>
      </c>
      <c r="AM14" s="208">
        <f t="shared" si="7"/>
        <v>12000000</v>
      </c>
      <c r="AN14" s="189" t="s">
        <v>587</v>
      </c>
      <c r="AO14" s="209" t="s">
        <v>591</v>
      </c>
      <c r="AP14" s="693"/>
      <c r="AQ14" s="413" t="s">
        <v>1112</v>
      </c>
    </row>
    <row r="15" spans="1:43" ht="45" x14ac:dyDescent="0.25">
      <c r="A15" s="693"/>
      <c r="B15" s="693"/>
      <c r="C15" s="693"/>
      <c r="D15" s="693"/>
      <c r="E15" s="782" t="s">
        <v>514</v>
      </c>
      <c r="F15" s="186" t="s">
        <v>515</v>
      </c>
      <c r="G15" s="133"/>
      <c r="H15" s="132">
        <v>10</v>
      </c>
      <c r="I15" s="133" t="s">
        <v>555</v>
      </c>
      <c r="J15" s="133" t="s">
        <v>556</v>
      </c>
      <c r="K15" s="61">
        <v>10</v>
      </c>
      <c r="L15" s="208">
        <f>SUM(K15*100)/44</f>
        <v>22.727272727272727</v>
      </c>
      <c r="M15" s="61">
        <v>11</v>
      </c>
      <c r="N15" s="208">
        <f>SUM(M15*100)/44</f>
        <v>25</v>
      </c>
      <c r="O15" s="61">
        <v>11</v>
      </c>
      <c r="P15" s="208">
        <f>SUM(O15*100)/44</f>
        <v>25</v>
      </c>
      <c r="Q15" s="61">
        <v>12</v>
      </c>
      <c r="R15" s="208">
        <f>SUM(Q15*100)/44</f>
        <v>27.272727272727273</v>
      </c>
      <c r="T15" s="210">
        <v>30000000</v>
      </c>
      <c r="U15" s="213">
        <v>7200000</v>
      </c>
      <c r="V15" s="168">
        <f t="shared" si="0"/>
        <v>24</v>
      </c>
      <c r="W15" s="213">
        <v>7300000</v>
      </c>
      <c r="X15" s="168">
        <f t="shared" si="1"/>
        <v>24.333333333333332</v>
      </c>
      <c r="Y15" s="213">
        <v>7500000</v>
      </c>
      <c r="Z15" s="212">
        <f t="shared" si="2"/>
        <v>25</v>
      </c>
      <c r="AA15" s="213">
        <f>SUM(U14,W14,Y14,AA14)</f>
        <v>8000000</v>
      </c>
      <c r="AB15" s="208">
        <f t="shared" si="3"/>
        <v>26.666666666666668</v>
      </c>
      <c r="AC15" s="211">
        <v>20000000</v>
      </c>
      <c r="AD15" s="168">
        <f t="shared" si="4"/>
        <v>66.666666666666671</v>
      </c>
      <c r="AE15" s="211"/>
      <c r="AF15" s="208">
        <f t="shared" si="5"/>
        <v>0</v>
      </c>
      <c r="AG15" s="133"/>
      <c r="AH15" s="61"/>
      <c r="AI15" s="208">
        <f t="shared" si="6"/>
        <v>0</v>
      </c>
      <c r="AL15" s="211">
        <v>10000000</v>
      </c>
      <c r="AM15" s="208">
        <f t="shared" si="7"/>
        <v>41666666.666666664</v>
      </c>
      <c r="AN15" s="189" t="s">
        <v>587</v>
      </c>
      <c r="AO15" s="209" t="s">
        <v>591</v>
      </c>
      <c r="AP15" s="693"/>
      <c r="AQ15" s="413" t="s">
        <v>1112</v>
      </c>
    </row>
    <row r="16" spans="1:43" ht="75" x14ac:dyDescent="0.25">
      <c r="A16" s="693"/>
      <c r="B16" s="693"/>
      <c r="C16" s="693"/>
      <c r="D16" s="693"/>
      <c r="E16" s="782"/>
      <c r="F16" s="186" t="s">
        <v>516</v>
      </c>
      <c r="G16" s="133"/>
      <c r="H16" s="132">
        <v>6</v>
      </c>
      <c r="I16" s="133" t="s">
        <v>557</v>
      </c>
      <c r="J16" s="133" t="s">
        <v>558</v>
      </c>
      <c r="K16" s="61">
        <v>6</v>
      </c>
      <c r="L16" s="208">
        <f>SUM(K16*100)/30</f>
        <v>20</v>
      </c>
      <c r="M16" s="61">
        <v>7</v>
      </c>
      <c r="N16" s="208">
        <f>SUM(M16*100)/30</f>
        <v>23.333333333333332</v>
      </c>
      <c r="O16" s="61">
        <v>8</v>
      </c>
      <c r="P16" s="208">
        <f>SUM(O16*100)/30</f>
        <v>26.666666666666668</v>
      </c>
      <c r="Q16" s="61">
        <v>9</v>
      </c>
      <c r="R16" s="208">
        <f>SUM(Q16*100)/30</f>
        <v>30</v>
      </c>
      <c r="T16" s="210">
        <v>20000000</v>
      </c>
      <c r="U16" s="213">
        <v>5000000</v>
      </c>
      <c r="V16" s="168">
        <f t="shared" si="0"/>
        <v>25</v>
      </c>
      <c r="W16" s="213">
        <v>5000000</v>
      </c>
      <c r="X16" s="168">
        <f t="shared" si="1"/>
        <v>25</v>
      </c>
      <c r="Y16" s="213">
        <v>5000000</v>
      </c>
      <c r="Z16" s="212">
        <f t="shared" si="2"/>
        <v>25</v>
      </c>
      <c r="AA16" s="213">
        <v>5000000</v>
      </c>
      <c r="AB16" s="208">
        <f t="shared" si="3"/>
        <v>25</v>
      </c>
      <c r="AC16" s="211">
        <v>15000000</v>
      </c>
      <c r="AD16" s="168">
        <f t="shared" si="4"/>
        <v>75</v>
      </c>
      <c r="AE16" s="211"/>
      <c r="AF16" s="208">
        <f t="shared" si="5"/>
        <v>0</v>
      </c>
      <c r="AG16" s="133"/>
      <c r="AH16" s="61"/>
      <c r="AI16" s="208">
        <f t="shared" si="6"/>
        <v>0</v>
      </c>
      <c r="AL16" s="211">
        <v>5000000</v>
      </c>
      <c r="AM16" s="208">
        <f t="shared" si="7"/>
        <v>20000000</v>
      </c>
      <c r="AN16" s="189" t="s">
        <v>587</v>
      </c>
      <c r="AO16" s="209" t="s">
        <v>591</v>
      </c>
      <c r="AP16" s="693"/>
      <c r="AQ16" s="413" t="s">
        <v>1112</v>
      </c>
    </row>
    <row r="17" spans="1:43" ht="45" x14ac:dyDescent="0.25">
      <c r="A17" s="693"/>
      <c r="B17" s="693"/>
      <c r="C17" s="693"/>
      <c r="D17" s="693"/>
      <c r="E17" s="782"/>
      <c r="F17" s="186" t="s">
        <v>517</v>
      </c>
      <c r="G17" s="133"/>
      <c r="H17" s="132">
        <v>15</v>
      </c>
      <c r="I17" s="133" t="s">
        <v>559</v>
      </c>
      <c r="J17" s="133" t="s">
        <v>560</v>
      </c>
      <c r="K17" s="61">
        <v>20</v>
      </c>
      <c r="L17" s="208">
        <f>SUM(K17*100)/80</f>
        <v>25</v>
      </c>
      <c r="M17" s="61">
        <v>21</v>
      </c>
      <c r="N17" s="208">
        <f>SUM(M17*100)/80</f>
        <v>26.25</v>
      </c>
      <c r="O17" s="61">
        <v>21</v>
      </c>
      <c r="P17" s="208">
        <f>SUM(O17*100)/80</f>
        <v>26.25</v>
      </c>
      <c r="Q17" s="61">
        <v>18</v>
      </c>
      <c r="R17" s="208">
        <f>SUM(Q17*100)/3600</f>
        <v>0.5</v>
      </c>
      <c r="T17" s="210">
        <v>80000000</v>
      </c>
      <c r="U17" s="213">
        <v>10000000</v>
      </c>
      <c r="V17" s="168">
        <f t="shared" si="0"/>
        <v>12.5</v>
      </c>
      <c r="W17" s="213">
        <v>10000000</v>
      </c>
      <c r="X17" s="168">
        <f t="shared" si="1"/>
        <v>12.5</v>
      </c>
      <c r="Y17" s="213">
        <v>10000000</v>
      </c>
      <c r="Z17" s="212">
        <f t="shared" si="2"/>
        <v>12.5</v>
      </c>
      <c r="AA17" s="213">
        <v>10000000</v>
      </c>
      <c r="AB17" s="208">
        <f t="shared" si="3"/>
        <v>12.5</v>
      </c>
      <c r="AC17" s="211">
        <v>50000000</v>
      </c>
      <c r="AD17" s="168">
        <f t="shared" si="4"/>
        <v>62.5</v>
      </c>
      <c r="AE17" s="211"/>
      <c r="AF17" s="208">
        <f t="shared" si="5"/>
        <v>0</v>
      </c>
      <c r="AG17" s="133"/>
      <c r="AH17" s="61"/>
      <c r="AI17" s="208">
        <f t="shared" si="6"/>
        <v>0</v>
      </c>
      <c r="AL17" s="211">
        <v>10000000</v>
      </c>
      <c r="AM17" s="208">
        <f t="shared" si="7"/>
        <v>80000000</v>
      </c>
      <c r="AN17" s="189" t="s">
        <v>587</v>
      </c>
      <c r="AO17" s="209" t="s">
        <v>591</v>
      </c>
      <c r="AP17" s="693"/>
      <c r="AQ17" s="413" t="s">
        <v>1112</v>
      </c>
    </row>
    <row r="18" spans="1:43" ht="30" x14ac:dyDescent="0.25">
      <c r="A18" s="693"/>
      <c r="B18" s="693"/>
      <c r="C18" s="693"/>
      <c r="D18" s="693"/>
      <c r="E18" s="782"/>
      <c r="F18" s="186" t="s">
        <v>518</v>
      </c>
      <c r="G18" s="133"/>
      <c r="H18" s="132">
        <v>1</v>
      </c>
      <c r="I18" s="133" t="s">
        <v>561</v>
      </c>
      <c r="J18" s="133" t="s">
        <v>562</v>
      </c>
      <c r="K18" s="61">
        <v>1</v>
      </c>
      <c r="L18" s="208">
        <f>SUM(K18*100)/4</f>
        <v>25</v>
      </c>
      <c r="M18" s="61">
        <v>1</v>
      </c>
      <c r="N18" s="208">
        <f>SUM(M18*100)/4</f>
        <v>25</v>
      </c>
      <c r="O18" s="61">
        <v>1</v>
      </c>
      <c r="P18" s="208">
        <f>SUM(O18*100)/4</f>
        <v>25</v>
      </c>
      <c r="Q18" s="61">
        <v>1</v>
      </c>
      <c r="R18" s="208">
        <f>SUM(Q18*100)/4</f>
        <v>25</v>
      </c>
      <c r="T18" s="210">
        <v>80000000</v>
      </c>
      <c r="U18" s="213">
        <v>20000000</v>
      </c>
      <c r="V18" s="168">
        <f t="shared" si="0"/>
        <v>25</v>
      </c>
      <c r="W18" s="213">
        <v>20000000</v>
      </c>
      <c r="X18" s="168">
        <f t="shared" si="1"/>
        <v>25</v>
      </c>
      <c r="Y18" s="213">
        <v>20000000</v>
      </c>
      <c r="Z18" s="212">
        <f t="shared" si="2"/>
        <v>25</v>
      </c>
      <c r="AA18" s="213">
        <v>20000000</v>
      </c>
      <c r="AB18" s="208">
        <f t="shared" si="3"/>
        <v>25</v>
      </c>
      <c r="AC18" s="211">
        <v>60000000</v>
      </c>
      <c r="AD18" s="168">
        <f t="shared" si="4"/>
        <v>75</v>
      </c>
      <c r="AE18" s="211"/>
      <c r="AF18" s="208">
        <f t="shared" si="5"/>
        <v>0</v>
      </c>
      <c r="AG18" s="133"/>
      <c r="AH18" s="61"/>
      <c r="AI18" s="208">
        <f t="shared" si="6"/>
        <v>0</v>
      </c>
      <c r="AL18" s="211">
        <v>20000000</v>
      </c>
      <c r="AM18" s="208">
        <f t="shared" si="7"/>
        <v>80000000</v>
      </c>
      <c r="AN18" s="189" t="s">
        <v>587</v>
      </c>
      <c r="AO18" s="209" t="s">
        <v>591</v>
      </c>
      <c r="AP18" s="693"/>
      <c r="AQ18" s="413" t="s">
        <v>1112</v>
      </c>
    </row>
    <row r="19" spans="1:43" ht="45" x14ac:dyDescent="0.25">
      <c r="A19" s="693"/>
      <c r="B19" s="693"/>
      <c r="C19" s="693"/>
      <c r="D19" s="693"/>
      <c r="E19" s="782"/>
      <c r="F19" s="186" t="s">
        <v>519</v>
      </c>
      <c r="G19" s="133"/>
      <c r="H19" s="132">
        <v>50</v>
      </c>
      <c r="I19" s="133" t="s">
        <v>563</v>
      </c>
      <c r="J19" s="133" t="s">
        <v>564</v>
      </c>
      <c r="K19" s="61">
        <v>50</v>
      </c>
      <c r="L19" s="208">
        <f>SUM(K19*100)/240</f>
        <v>20.833333333333332</v>
      </c>
      <c r="M19" s="61">
        <v>58</v>
      </c>
      <c r="N19" s="208">
        <f>SUM(M19*100)/240</f>
        <v>24.166666666666668</v>
      </c>
      <c r="O19" s="61">
        <v>65</v>
      </c>
      <c r="P19" s="208">
        <f>SUM(O19*100)/240</f>
        <v>27.083333333333332</v>
      </c>
      <c r="Q19" s="61">
        <v>67</v>
      </c>
      <c r="R19" s="208">
        <f>SUM(Q19*100)/240</f>
        <v>27.916666666666668</v>
      </c>
      <c r="T19" s="210">
        <v>20000000</v>
      </c>
      <c r="U19" s="213">
        <v>5000000</v>
      </c>
      <c r="V19" s="168">
        <f t="shared" si="0"/>
        <v>25</v>
      </c>
      <c r="W19" s="213">
        <v>5000000</v>
      </c>
      <c r="X19" s="168">
        <f t="shared" si="1"/>
        <v>25</v>
      </c>
      <c r="Y19" s="213">
        <v>5000000</v>
      </c>
      <c r="Z19" s="212">
        <f t="shared" si="2"/>
        <v>25</v>
      </c>
      <c r="AA19" s="213">
        <v>5000000</v>
      </c>
      <c r="AB19" s="208">
        <f t="shared" si="3"/>
        <v>25</v>
      </c>
      <c r="AC19" s="211">
        <v>15000000</v>
      </c>
      <c r="AD19" s="168">
        <f t="shared" si="4"/>
        <v>75</v>
      </c>
      <c r="AE19" s="211"/>
      <c r="AF19" s="208">
        <f t="shared" si="5"/>
        <v>0</v>
      </c>
      <c r="AG19" s="133"/>
      <c r="AH19" s="61"/>
      <c r="AI19" s="208">
        <f t="shared" si="6"/>
        <v>0</v>
      </c>
      <c r="AL19" s="211">
        <v>5000000</v>
      </c>
      <c r="AM19" s="208">
        <f t="shared" si="7"/>
        <v>20000000</v>
      </c>
      <c r="AN19" s="189" t="s">
        <v>587</v>
      </c>
      <c r="AO19" s="209" t="s">
        <v>591</v>
      </c>
      <c r="AP19" s="693"/>
      <c r="AQ19" s="413" t="s">
        <v>1112</v>
      </c>
    </row>
    <row r="20" spans="1:43" ht="45" x14ac:dyDescent="0.25">
      <c r="A20" s="693"/>
      <c r="B20" s="693"/>
      <c r="C20" s="693"/>
      <c r="D20" s="693"/>
      <c r="E20" s="782" t="s">
        <v>520</v>
      </c>
      <c r="F20" s="186" t="s">
        <v>521</v>
      </c>
      <c r="G20" s="133"/>
      <c r="H20" s="132">
        <v>1</v>
      </c>
      <c r="I20" s="133" t="s">
        <v>565</v>
      </c>
      <c r="J20" s="133" t="s">
        <v>566</v>
      </c>
      <c r="K20" s="61"/>
      <c r="L20" s="208">
        <f>SUM(K20*100)/1</f>
        <v>0</v>
      </c>
      <c r="M20" s="61">
        <v>1</v>
      </c>
      <c r="N20" s="208">
        <f>SUM(M20*100)/1</f>
        <v>100</v>
      </c>
      <c r="O20" s="61"/>
      <c r="P20" s="208">
        <f>SUM(O20*100)/1</f>
        <v>0</v>
      </c>
      <c r="Q20" s="61"/>
      <c r="R20" s="208">
        <f>SUM(Q20*100)/1</f>
        <v>0</v>
      </c>
      <c r="T20" s="210">
        <v>25000000</v>
      </c>
      <c r="U20" s="213">
        <v>12500000</v>
      </c>
      <c r="V20" s="168">
        <f t="shared" si="0"/>
        <v>50</v>
      </c>
      <c r="W20" s="213">
        <v>12500000</v>
      </c>
      <c r="X20" s="168">
        <f t="shared" si="1"/>
        <v>50</v>
      </c>
      <c r="Y20" s="213">
        <v>0</v>
      </c>
      <c r="Z20" s="212">
        <f t="shared" si="2"/>
        <v>0</v>
      </c>
      <c r="AA20" s="213">
        <v>0</v>
      </c>
      <c r="AB20" s="208">
        <f t="shared" si="3"/>
        <v>0</v>
      </c>
      <c r="AC20" s="211">
        <v>25000000</v>
      </c>
      <c r="AD20" s="168">
        <f t="shared" si="4"/>
        <v>100</v>
      </c>
      <c r="AE20" s="211"/>
      <c r="AF20" s="208">
        <f t="shared" si="5"/>
        <v>0</v>
      </c>
      <c r="AG20" s="133"/>
      <c r="AH20" s="61"/>
      <c r="AI20" s="208">
        <f t="shared" si="6"/>
        <v>0</v>
      </c>
      <c r="AL20" s="211"/>
      <c r="AM20" s="208">
        <f t="shared" si="7"/>
        <v>0</v>
      </c>
      <c r="AN20" s="189"/>
      <c r="AO20" s="209" t="s">
        <v>591</v>
      </c>
      <c r="AP20" s="693"/>
      <c r="AQ20" s="413" t="s">
        <v>1112</v>
      </c>
    </row>
    <row r="21" spans="1:43" ht="30" x14ac:dyDescent="0.25">
      <c r="A21" s="693"/>
      <c r="B21" s="693"/>
      <c r="C21" s="693"/>
      <c r="D21" s="693"/>
      <c r="E21" s="782"/>
      <c r="F21" s="186" t="s">
        <v>522</v>
      </c>
      <c r="G21" s="133"/>
      <c r="H21" s="132">
        <v>1</v>
      </c>
      <c r="I21" s="133" t="s">
        <v>567</v>
      </c>
      <c r="J21" s="133" t="s">
        <v>568</v>
      </c>
      <c r="K21" s="61"/>
      <c r="L21" s="208">
        <f>SUM(K21*100)/1</f>
        <v>0</v>
      </c>
      <c r="M21" s="61"/>
      <c r="N21" s="208">
        <f>SUM(M21*100)/1</f>
        <v>0</v>
      </c>
      <c r="O21" s="61">
        <v>1</v>
      </c>
      <c r="P21" s="208">
        <f>SUM(O21*100)/1</f>
        <v>100</v>
      </c>
      <c r="Q21" s="61"/>
      <c r="R21" s="208">
        <f>SUM(Q21*100)/1</f>
        <v>0</v>
      </c>
      <c r="T21" s="210">
        <v>30000000</v>
      </c>
      <c r="U21" s="213"/>
      <c r="V21" s="168">
        <f t="shared" si="0"/>
        <v>0</v>
      </c>
      <c r="W21" s="213">
        <v>15000000</v>
      </c>
      <c r="X21" s="168">
        <f t="shared" si="1"/>
        <v>50</v>
      </c>
      <c r="Y21" s="213">
        <v>15000000</v>
      </c>
      <c r="Z21" s="212">
        <f t="shared" si="2"/>
        <v>50</v>
      </c>
      <c r="AA21" s="213">
        <v>0</v>
      </c>
      <c r="AB21" s="208">
        <f t="shared" si="3"/>
        <v>0</v>
      </c>
      <c r="AC21" s="211">
        <v>30000000</v>
      </c>
      <c r="AD21" s="168">
        <f t="shared" si="4"/>
        <v>100</v>
      </c>
      <c r="AE21" s="211"/>
      <c r="AF21" s="208">
        <f t="shared" si="5"/>
        <v>0</v>
      </c>
      <c r="AG21" s="133"/>
      <c r="AH21" s="61"/>
      <c r="AI21" s="208">
        <f t="shared" si="6"/>
        <v>0</v>
      </c>
      <c r="AL21" s="211"/>
      <c r="AM21" s="208" t="e">
        <f t="shared" si="7"/>
        <v>#DIV/0!</v>
      </c>
      <c r="AN21" s="189"/>
      <c r="AO21" s="209" t="s">
        <v>591</v>
      </c>
      <c r="AP21" s="693"/>
      <c r="AQ21" s="413" t="s">
        <v>1112</v>
      </c>
    </row>
    <row r="22" spans="1:43" ht="45" x14ac:dyDescent="0.25">
      <c r="A22" s="693"/>
      <c r="B22" s="693"/>
      <c r="C22" s="693"/>
      <c r="D22" s="693"/>
      <c r="E22" s="782"/>
      <c r="F22" s="186" t="s">
        <v>523</v>
      </c>
      <c r="G22" s="133"/>
      <c r="H22" s="132">
        <v>0</v>
      </c>
      <c r="I22" s="133" t="s">
        <v>569</v>
      </c>
      <c r="J22" s="133" t="s">
        <v>570</v>
      </c>
      <c r="K22" s="61">
        <v>8</v>
      </c>
      <c r="L22" s="208">
        <f>SUM(K22*100)/40</f>
        <v>20</v>
      </c>
      <c r="M22" s="61">
        <v>8</v>
      </c>
      <c r="N22" s="208">
        <f>SUM(M22*100)/40</f>
        <v>20</v>
      </c>
      <c r="O22" s="61">
        <v>12</v>
      </c>
      <c r="P22" s="208">
        <f>SUM(O22*100)/40</f>
        <v>30</v>
      </c>
      <c r="Q22" s="61">
        <v>12</v>
      </c>
      <c r="R22" s="208">
        <f>SUM(Q22*100)/40</f>
        <v>30</v>
      </c>
      <c r="T22" s="210">
        <v>10000000</v>
      </c>
      <c r="U22" s="213">
        <v>2500000</v>
      </c>
      <c r="V22" s="168">
        <f t="shared" si="0"/>
        <v>25</v>
      </c>
      <c r="W22" s="213">
        <v>2500000</v>
      </c>
      <c r="X22" s="168">
        <f t="shared" si="1"/>
        <v>25</v>
      </c>
      <c r="Y22" s="213">
        <v>2500000</v>
      </c>
      <c r="Z22" s="212">
        <f t="shared" si="2"/>
        <v>25</v>
      </c>
      <c r="AA22" s="213">
        <v>2500000</v>
      </c>
      <c r="AB22" s="208">
        <f t="shared" si="3"/>
        <v>25</v>
      </c>
      <c r="AC22" s="211">
        <v>10000000</v>
      </c>
      <c r="AD22" s="168">
        <f t="shared" si="4"/>
        <v>100</v>
      </c>
      <c r="AE22" s="211"/>
      <c r="AF22" s="208">
        <f t="shared" si="5"/>
        <v>0</v>
      </c>
      <c r="AG22" s="133"/>
      <c r="AH22" s="61"/>
      <c r="AI22" s="208">
        <f t="shared" si="6"/>
        <v>0</v>
      </c>
      <c r="AL22" s="211"/>
      <c r="AM22" s="208">
        <f t="shared" si="7"/>
        <v>0</v>
      </c>
      <c r="AN22" s="189"/>
      <c r="AO22" s="209" t="s">
        <v>591</v>
      </c>
      <c r="AP22" s="693"/>
      <c r="AQ22" s="413" t="s">
        <v>1112</v>
      </c>
    </row>
    <row r="23" spans="1:43" ht="30" x14ac:dyDescent="0.25">
      <c r="A23" s="693"/>
      <c r="B23" s="693"/>
      <c r="C23" s="693"/>
      <c r="D23" s="693"/>
      <c r="E23" s="782"/>
      <c r="F23" s="186" t="s">
        <v>524</v>
      </c>
      <c r="G23" s="133"/>
      <c r="H23" s="132">
        <v>0</v>
      </c>
      <c r="I23" s="133" t="s">
        <v>571</v>
      </c>
      <c r="J23" s="133" t="s">
        <v>572</v>
      </c>
      <c r="K23" s="61">
        <v>1</v>
      </c>
      <c r="L23" s="208">
        <f>SUM(K23*100)/4</f>
        <v>25</v>
      </c>
      <c r="M23" s="61">
        <v>1</v>
      </c>
      <c r="N23" s="208">
        <f>SUM(M23*100)/4</f>
        <v>25</v>
      </c>
      <c r="O23" s="61">
        <v>1</v>
      </c>
      <c r="P23" s="208">
        <f>SUM(O23*100)/4</f>
        <v>25</v>
      </c>
      <c r="Q23" s="61">
        <v>1</v>
      </c>
      <c r="R23" s="208">
        <f>SUM(Q23*100)/4</f>
        <v>25</v>
      </c>
      <c r="T23" s="210">
        <v>20000000</v>
      </c>
      <c r="U23" s="213">
        <v>5000000</v>
      </c>
      <c r="V23" s="168">
        <f t="shared" si="0"/>
        <v>25</v>
      </c>
      <c r="W23" s="213">
        <v>5000000</v>
      </c>
      <c r="X23" s="168">
        <f t="shared" si="1"/>
        <v>25</v>
      </c>
      <c r="Y23" s="213">
        <v>5000000</v>
      </c>
      <c r="Z23" s="212">
        <f t="shared" si="2"/>
        <v>25</v>
      </c>
      <c r="AA23" s="213">
        <f>SUM(U22,W22,Y22,AA22)</f>
        <v>10000000</v>
      </c>
      <c r="AB23" s="208">
        <f t="shared" si="3"/>
        <v>50</v>
      </c>
      <c r="AC23" s="211">
        <v>16000000</v>
      </c>
      <c r="AD23" s="168">
        <f t="shared" si="4"/>
        <v>80</v>
      </c>
      <c r="AE23" s="211"/>
      <c r="AF23" s="208">
        <f t="shared" si="5"/>
        <v>0</v>
      </c>
      <c r="AG23" s="133"/>
      <c r="AH23" s="61"/>
      <c r="AI23" s="208">
        <f t="shared" si="6"/>
        <v>0</v>
      </c>
      <c r="AL23" s="211">
        <v>4000000</v>
      </c>
      <c r="AM23" s="208">
        <f t="shared" si="7"/>
        <v>16000000</v>
      </c>
      <c r="AN23" s="189" t="s">
        <v>587</v>
      </c>
      <c r="AO23" s="209" t="s">
        <v>591</v>
      </c>
      <c r="AP23" s="693"/>
      <c r="AQ23" s="413" t="s">
        <v>1112</v>
      </c>
    </row>
    <row r="24" spans="1:43" ht="45" x14ac:dyDescent="0.25">
      <c r="A24" s="693"/>
      <c r="B24" s="693"/>
      <c r="C24" s="693" t="s">
        <v>525</v>
      </c>
      <c r="D24" s="782" t="s">
        <v>526</v>
      </c>
      <c r="E24" s="782"/>
      <c r="F24" s="186" t="s">
        <v>527</v>
      </c>
      <c r="G24" s="61"/>
      <c r="H24" s="189">
        <v>0</v>
      </c>
      <c r="I24" s="133" t="s">
        <v>573</v>
      </c>
      <c r="J24" s="133" t="s">
        <v>574</v>
      </c>
      <c r="K24" s="61">
        <v>1</v>
      </c>
      <c r="L24" s="208">
        <f>SUM(K24*100)/1</f>
        <v>100</v>
      </c>
      <c r="M24" s="61"/>
      <c r="N24" s="208">
        <f>SUM(M24*100)/1</f>
        <v>0</v>
      </c>
      <c r="O24" s="61"/>
      <c r="P24" s="208">
        <f>SUM(O24*100)/1</f>
        <v>0</v>
      </c>
      <c r="Q24" s="61"/>
      <c r="R24" s="208">
        <f>SUM(Q24*100)/1</f>
        <v>0</v>
      </c>
      <c r="T24" s="210">
        <v>5000000</v>
      </c>
      <c r="U24" s="211">
        <v>5000000</v>
      </c>
      <c r="V24" s="168">
        <f t="shared" si="0"/>
        <v>100</v>
      </c>
      <c r="W24" s="211"/>
      <c r="X24" s="168">
        <f t="shared" si="1"/>
        <v>0</v>
      </c>
      <c r="Y24" s="211"/>
      <c r="Z24" s="212">
        <f t="shared" si="2"/>
        <v>0</v>
      </c>
      <c r="AA24" s="213">
        <v>0</v>
      </c>
      <c r="AB24" s="208">
        <f t="shared" si="3"/>
        <v>0</v>
      </c>
      <c r="AC24" s="211">
        <v>5000000</v>
      </c>
      <c r="AD24" s="168">
        <f t="shared" si="4"/>
        <v>100</v>
      </c>
      <c r="AE24" s="211"/>
      <c r="AF24" s="208">
        <f t="shared" si="5"/>
        <v>0</v>
      </c>
      <c r="AG24" s="61"/>
      <c r="AH24" s="61"/>
      <c r="AI24" s="208">
        <f t="shared" si="6"/>
        <v>0</v>
      </c>
      <c r="AL24" s="211"/>
      <c r="AM24" s="208">
        <f t="shared" si="7"/>
        <v>0</v>
      </c>
      <c r="AN24" s="61"/>
      <c r="AO24" s="209" t="s">
        <v>591</v>
      </c>
      <c r="AP24" s="693"/>
      <c r="AQ24" s="413" t="s">
        <v>1112</v>
      </c>
    </row>
    <row r="25" spans="1:43" ht="30" x14ac:dyDescent="0.25">
      <c r="A25" s="693"/>
      <c r="B25" s="693"/>
      <c r="C25" s="693"/>
      <c r="D25" s="782"/>
      <c r="E25" s="782"/>
      <c r="F25" s="186" t="s">
        <v>528</v>
      </c>
      <c r="G25" s="204"/>
      <c r="H25" s="205">
        <v>1</v>
      </c>
      <c r="I25" s="133" t="s">
        <v>575</v>
      </c>
      <c r="J25" s="206" t="s">
        <v>576</v>
      </c>
      <c r="K25" s="209">
        <v>1</v>
      </c>
      <c r="L25" s="208">
        <f>SUM(K25*100)/1</f>
        <v>100</v>
      </c>
      <c r="M25" s="61"/>
      <c r="N25" s="208">
        <f>SUM(M25*100)/1</f>
        <v>0</v>
      </c>
      <c r="O25" s="61"/>
      <c r="P25" s="208">
        <f>SUM(O25*100)/1</f>
        <v>0</v>
      </c>
      <c r="Q25" s="61"/>
      <c r="R25" s="208">
        <f>SUM(Q25*100)/1</f>
        <v>0</v>
      </c>
      <c r="T25" s="210">
        <v>32000000</v>
      </c>
      <c r="U25" s="214">
        <v>8000000</v>
      </c>
      <c r="V25" s="168">
        <f t="shared" si="0"/>
        <v>25</v>
      </c>
      <c r="W25" s="215">
        <v>8000000</v>
      </c>
      <c r="X25" s="168">
        <f t="shared" si="1"/>
        <v>25</v>
      </c>
      <c r="Y25" s="215">
        <v>8000000</v>
      </c>
      <c r="Z25" s="212">
        <f t="shared" si="2"/>
        <v>25</v>
      </c>
      <c r="AA25" s="213">
        <v>8000000</v>
      </c>
      <c r="AB25" s="208">
        <f t="shared" si="3"/>
        <v>25</v>
      </c>
      <c r="AC25" s="215">
        <v>32000000</v>
      </c>
      <c r="AD25" s="168">
        <f t="shared" si="4"/>
        <v>100</v>
      </c>
      <c r="AE25" s="215"/>
      <c r="AF25" s="208">
        <f t="shared" si="5"/>
        <v>0</v>
      </c>
      <c r="AG25" s="170"/>
      <c r="AH25" s="170"/>
      <c r="AI25" s="208">
        <f t="shared" si="6"/>
        <v>0</v>
      </c>
      <c r="AL25" s="211"/>
      <c r="AM25" s="208">
        <f t="shared" si="7"/>
        <v>0</v>
      </c>
      <c r="AN25" s="220"/>
      <c r="AO25" s="209" t="s">
        <v>591</v>
      </c>
      <c r="AP25" s="693"/>
      <c r="AQ25" s="413" t="s">
        <v>1112</v>
      </c>
    </row>
    <row r="26" spans="1:43" ht="45" x14ac:dyDescent="0.25">
      <c r="A26" s="693"/>
      <c r="B26" s="693"/>
      <c r="C26" s="693"/>
      <c r="D26" s="782"/>
      <c r="E26" s="782"/>
      <c r="F26" s="186" t="s">
        <v>529</v>
      </c>
      <c r="G26" s="133"/>
      <c r="H26" s="132">
        <v>1</v>
      </c>
      <c r="I26" s="207" t="s">
        <v>577</v>
      </c>
      <c r="J26" s="133" t="s">
        <v>578</v>
      </c>
      <c r="K26" s="133">
        <v>1</v>
      </c>
      <c r="L26" s="208">
        <f>SUM(K26*100)/1</f>
        <v>100</v>
      </c>
      <c r="M26" s="61"/>
      <c r="N26" s="208">
        <f>SUM(M26*100)/1</f>
        <v>0</v>
      </c>
      <c r="O26" s="61"/>
      <c r="P26" s="208">
        <f>SUM(O26*100)/1</f>
        <v>0</v>
      </c>
      <c r="Q26" s="61"/>
      <c r="R26" s="208">
        <f>SUM(Q26*100)/1</f>
        <v>0</v>
      </c>
      <c r="T26" s="210">
        <v>10000000</v>
      </c>
      <c r="U26" s="213">
        <v>2500000</v>
      </c>
      <c r="V26" s="168">
        <f t="shared" si="0"/>
        <v>25</v>
      </c>
      <c r="W26" s="213">
        <v>2500000</v>
      </c>
      <c r="X26" s="168">
        <f t="shared" si="1"/>
        <v>25</v>
      </c>
      <c r="Y26" s="213">
        <v>2500000</v>
      </c>
      <c r="Z26" s="212">
        <f t="shared" si="2"/>
        <v>25</v>
      </c>
      <c r="AA26" s="213">
        <v>2500000</v>
      </c>
      <c r="AB26" s="208">
        <f t="shared" si="3"/>
        <v>25</v>
      </c>
      <c r="AC26" s="211">
        <v>10000000</v>
      </c>
      <c r="AD26" s="168">
        <f t="shared" si="4"/>
        <v>100</v>
      </c>
      <c r="AE26" s="211"/>
      <c r="AF26" s="208">
        <f t="shared" si="5"/>
        <v>0</v>
      </c>
      <c r="AG26" s="133"/>
      <c r="AH26" s="61"/>
      <c r="AI26" s="208">
        <f t="shared" si="6"/>
        <v>0</v>
      </c>
      <c r="AL26" s="211"/>
      <c r="AM26" s="208">
        <f t="shared" si="7"/>
        <v>0</v>
      </c>
      <c r="AN26" s="189"/>
      <c r="AO26" s="209" t="s">
        <v>591</v>
      </c>
      <c r="AP26" s="693"/>
      <c r="AQ26" s="413" t="s">
        <v>1112</v>
      </c>
    </row>
    <row r="27" spans="1:43" ht="45" x14ac:dyDescent="0.25">
      <c r="A27" s="693"/>
      <c r="B27" s="693"/>
      <c r="C27" s="693"/>
      <c r="D27" s="782"/>
      <c r="E27" s="693" t="s">
        <v>530</v>
      </c>
      <c r="F27" s="186" t="s">
        <v>531</v>
      </c>
      <c r="G27" s="133"/>
      <c r="H27" s="132">
        <v>1</v>
      </c>
      <c r="I27" s="133" t="s">
        <v>579</v>
      </c>
      <c r="J27" s="133" t="s">
        <v>580</v>
      </c>
      <c r="K27" s="133">
        <v>7</v>
      </c>
      <c r="L27" s="208">
        <f>SUM(K27*100)/40</f>
        <v>17.5</v>
      </c>
      <c r="M27" s="61">
        <v>11</v>
      </c>
      <c r="N27" s="208">
        <f>SUM(M27*100)/40</f>
        <v>27.5</v>
      </c>
      <c r="O27" s="61">
        <v>11</v>
      </c>
      <c r="P27" s="208">
        <f>SUM(O27*100)/40</f>
        <v>27.5</v>
      </c>
      <c r="Q27" s="61">
        <v>11</v>
      </c>
      <c r="R27" s="208">
        <f>SUM(Q27*100)/40</f>
        <v>27.5</v>
      </c>
      <c r="T27" s="210">
        <v>1000000</v>
      </c>
      <c r="U27" s="213">
        <v>250000</v>
      </c>
      <c r="V27" s="168">
        <f t="shared" si="0"/>
        <v>25</v>
      </c>
      <c r="W27" s="213">
        <v>250000</v>
      </c>
      <c r="X27" s="168">
        <f t="shared" si="1"/>
        <v>25</v>
      </c>
      <c r="Y27" s="213">
        <v>250000</v>
      </c>
      <c r="Z27" s="212">
        <f t="shared" si="2"/>
        <v>25</v>
      </c>
      <c r="AA27" s="213">
        <v>250000</v>
      </c>
      <c r="AB27" s="208">
        <f t="shared" si="3"/>
        <v>25</v>
      </c>
      <c r="AC27" s="211">
        <v>1000000</v>
      </c>
      <c r="AD27" s="168">
        <f t="shared" si="4"/>
        <v>100</v>
      </c>
      <c r="AE27" s="211"/>
      <c r="AF27" s="208">
        <f t="shared" si="5"/>
        <v>0</v>
      </c>
      <c r="AG27" s="133"/>
      <c r="AH27" s="61"/>
      <c r="AI27" s="208">
        <f t="shared" si="6"/>
        <v>0</v>
      </c>
      <c r="AL27" s="211"/>
      <c r="AM27" s="208">
        <f t="shared" si="7"/>
        <v>0</v>
      </c>
      <c r="AN27" s="189"/>
      <c r="AO27" s="209" t="s">
        <v>593</v>
      </c>
      <c r="AP27" s="693"/>
      <c r="AQ27" s="413" t="s">
        <v>1112</v>
      </c>
    </row>
    <row r="28" spans="1:43" ht="75" x14ac:dyDescent="0.25">
      <c r="A28" s="693"/>
      <c r="B28" s="693"/>
      <c r="C28" s="693"/>
      <c r="D28" s="782"/>
      <c r="E28" s="693"/>
      <c r="F28" s="186" t="s">
        <v>532</v>
      </c>
      <c r="G28" s="133"/>
      <c r="H28" s="132">
        <v>7</v>
      </c>
      <c r="I28" s="133" t="s">
        <v>581</v>
      </c>
      <c r="J28" s="133" t="s">
        <v>582</v>
      </c>
      <c r="K28" s="133">
        <v>10</v>
      </c>
      <c r="L28" s="208">
        <f>SUM(K28*100)/50</f>
        <v>20</v>
      </c>
      <c r="M28" s="61">
        <v>13</v>
      </c>
      <c r="N28" s="208">
        <f>SUM(M28*100)/50</f>
        <v>26</v>
      </c>
      <c r="O28" s="61">
        <v>13</v>
      </c>
      <c r="P28" s="208">
        <f>SUM(O28*100)/50</f>
        <v>26</v>
      </c>
      <c r="Q28" s="61">
        <v>14</v>
      </c>
      <c r="R28" s="208">
        <f>SUM(Q28*100)/50</f>
        <v>28</v>
      </c>
      <c r="T28" s="210">
        <v>90000000</v>
      </c>
      <c r="U28" s="213">
        <v>20000000</v>
      </c>
      <c r="V28" s="168">
        <f t="shared" si="0"/>
        <v>22.222222222222221</v>
      </c>
      <c r="W28" s="213">
        <v>22000000</v>
      </c>
      <c r="X28" s="168">
        <f t="shared" si="1"/>
        <v>24.444444444444443</v>
      </c>
      <c r="Y28" s="213">
        <v>23000000</v>
      </c>
      <c r="Z28" s="212">
        <f t="shared" si="2"/>
        <v>25.555555555555557</v>
      </c>
      <c r="AA28" s="213">
        <v>25000000</v>
      </c>
      <c r="AB28" s="208">
        <f t="shared" si="3"/>
        <v>27.777777777777779</v>
      </c>
      <c r="AC28" s="211">
        <v>90000000</v>
      </c>
      <c r="AD28" s="168">
        <f t="shared" si="4"/>
        <v>100</v>
      </c>
      <c r="AE28" s="211"/>
      <c r="AF28" s="208">
        <f t="shared" si="5"/>
        <v>0</v>
      </c>
      <c r="AG28" s="133"/>
      <c r="AH28" s="61"/>
      <c r="AI28" s="208">
        <f t="shared" si="6"/>
        <v>0</v>
      </c>
      <c r="AL28" s="211"/>
      <c r="AM28" s="208">
        <f t="shared" si="7"/>
        <v>0</v>
      </c>
      <c r="AN28" s="189"/>
      <c r="AO28" s="209" t="s">
        <v>594</v>
      </c>
      <c r="AP28" s="693"/>
      <c r="AQ28" s="413" t="s">
        <v>1112</v>
      </c>
    </row>
    <row r="29" spans="1:43" ht="30" x14ac:dyDescent="0.25">
      <c r="A29" s="693"/>
      <c r="B29" s="693"/>
      <c r="C29" s="693"/>
      <c r="D29" s="100" t="s">
        <v>533</v>
      </c>
      <c r="E29" s="201"/>
      <c r="F29" s="186" t="s">
        <v>534</v>
      </c>
      <c r="G29" s="133"/>
      <c r="H29" s="132">
        <v>1</v>
      </c>
      <c r="I29" s="133" t="s">
        <v>583</v>
      </c>
      <c r="J29" s="133" t="s">
        <v>584</v>
      </c>
      <c r="K29" s="133">
        <v>1</v>
      </c>
      <c r="L29" s="208">
        <f>SUM(K29*100)/4</f>
        <v>25</v>
      </c>
      <c r="M29" s="61">
        <v>1</v>
      </c>
      <c r="N29" s="208">
        <f>SUM(M29*100)/4</f>
        <v>25</v>
      </c>
      <c r="O29" s="61">
        <v>1</v>
      </c>
      <c r="P29" s="208">
        <f>SUM(O29*100)/4</f>
        <v>25</v>
      </c>
      <c r="Q29" s="61">
        <v>1</v>
      </c>
      <c r="R29" s="208">
        <f>SUM(Q29*100)/4</f>
        <v>25</v>
      </c>
      <c r="T29" s="210">
        <v>30000000</v>
      </c>
      <c r="U29" s="213">
        <v>3750000</v>
      </c>
      <c r="V29" s="168">
        <f t="shared" si="0"/>
        <v>12.5</v>
      </c>
      <c r="W29" s="213">
        <v>3750000</v>
      </c>
      <c r="X29" s="168">
        <f t="shared" si="1"/>
        <v>12.5</v>
      </c>
      <c r="Y29" s="213">
        <v>3750000</v>
      </c>
      <c r="Z29" s="212">
        <f t="shared" si="2"/>
        <v>12.5</v>
      </c>
      <c r="AA29" s="213">
        <v>3750000</v>
      </c>
      <c r="AB29" s="208">
        <f t="shared" si="3"/>
        <v>12.5</v>
      </c>
      <c r="AC29" s="211">
        <v>15000000</v>
      </c>
      <c r="AD29" s="168">
        <f t="shared" si="4"/>
        <v>50</v>
      </c>
      <c r="AE29" s="211"/>
      <c r="AF29" s="208">
        <f t="shared" si="5"/>
        <v>0</v>
      </c>
      <c r="AG29" s="133"/>
      <c r="AH29" s="61"/>
      <c r="AI29" s="208">
        <f t="shared" si="6"/>
        <v>0</v>
      </c>
      <c r="AL29" s="211">
        <v>15000000</v>
      </c>
      <c r="AM29" s="208">
        <f t="shared" si="7"/>
        <v>120000000</v>
      </c>
      <c r="AN29" s="189" t="s">
        <v>369</v>
      </c>
      <c r="AO29" s="209" t="s">
        <v>591</v>
      </c>
      <c r="AP29" s="693"/>
      <c r="AQ29" s="413" t="s">
        <v>1112</v>
      </c>
    </row>
    <row r="30" spans="1:43" ht="30" x14ac:dyDescent="0.25">
      <c r="A30" s="693"/>
      <c r="B30" s="693"/>
      <c r="C30" s="693"/>
      <c r="D30" s="100"/>
      <c r="E30" s="202" t="s">
        <v>535</v>
      </c>
      <c r="F30" s="203" t="s">
        <v>536</v>
      </c>
      <c r="G30" s="133"/>
      <c r="H30" s="132">
        <v>1</v>
      </c>
      <c r="I30" s="133" t="s">
        <v>585</v>
      </c>
      <c r="J30" s="133" t="s">
        <v>586</v>
      </c>
      <c r="K30" s="133"/>
      <c r="L30" s="208">
        <f>SUM(K30*100)/1</f>
        <v>0</v>
      </c>
      <c r="M30" s="61">
        <v>1</v>
      </c>
      <c r="N30" s="208">
        <f>SUM(M30*100)/1</f>
        <v>100</v>
      </c>
      <c r="O30" s="61"/>
      <c r="P30" s="208">
        <f>SUM(O30*100)/1</f>
        <v>0</v>
      </c>
      <c r="Q30" s="61"/>
      <c r="R30" s="208">
        <f>SUM(Q30*100)/1</f>
        <v>0</v>
      </c>
      <c r="T30" s="210">
        <v>45000000</v>
      </c>
      <c r="U30" s="213">
        <v>10000000</v>
      </c>
      <c r="V30" s="168">
        <f t="shared" si="0"/>
        <v>22.222222222222221</v>
      </c>
      <c r="W30" s="213">
        <v>25000000</v>
      </c>
      <c r="X30" s="168">
        <f t="shared" si="1"/>
        <v>55.555555555555557</v>
      </c>
      <c r="Y30" s="213">
        <v>10000000</v>
      </c>
      <c r="Z30" s="212">
        <f t="shared" si="2"/>
        <v>22.222222222222221</v>
      </c>
      <c r="AA30" s="213"/>
      <c r="AB30" s="208">
        <f t="shared" si="3"/>
        <v>0</v>
      </c>
      <c r="AC30" s="211">
        <v>15000000</v>
      </c>
      <c r="AD30" s="168">
        <f t="shared" si="4"/>
        <v>33.333333333333336</v>
      </c>
      <c r="AE30" s="211"/>
      <c r="AF30" s="208">
        <f t="shared" si="5"/>
        <v>0</v>
      </c>
      <c r="AG30" s="133"/>
      <c r="AH30" s="61"/>
      <c r="AI30" s="208">
        <f t="shared" si="6"/>
        <v>0</v>
      </c>
      <c r="AL30" s="211">
        <v>30000000</v>
      </c>
      <c r="AM30" s="208">
        <f t="shared" si="7"/>
        <v>135000000</v>
      </c>
      <c r="AN30" s="219" t="s">
        <v>590</v>
      </c>
      <c r="AO30" s="209" t="s">
        <v>591</v>
      </c>
      <c r="AP30" s="693"/>
      <c r="AQ30" s="413" t="s">
        <v>1112</v>
      </c>
    </row>
    <row r="31" spans="1:43" ht="25.5" x14ac:dyDescent="0.25">
      <c r="A31" s="693"/>
      <c r="B31" s="693"/>
      <c r="C31" s="693"/>
      <c r="D31" s="100"/>
      <c r="E31" s="201"/>
      <c r="F31" s="53"/>
      <c r="G31" s="133"/>
      <c r="H31" s="132">
        <v>0</v>
      </c>
      <c r="I31" s="133"/>
      <c r="J31" s="133"/>
      <c r="K31" s="133"/>
      <c r="L31" s="168"/>
      <c r="M31" s="61"/>
      <c r="N31" s="168"/>
      <c r="O31" s="61"/>
      <c r="P31" s="168"/>
      <c r="Q31" s="61"/>
      <c r="R31" s="168"/>
      <c r="T31" s="174"/>
      <c r="U31" s="213"/>
      <c r="V31" s="185"/>
      <c r="W31" s="213"/>
      <c r="X31" s="168"/>
      <c r="Y31" s="213"/>
      <c r="Z31" s="212"/>
      <c r="AA31" s="213">
        <v>0</v>
      </c>
      <c r="AB31" s="208"/>
      <c r="AC31" s="211"/>
      <c r="AD31" s="168"/>
      <c r="AE31" s="211"/>
      <c r="AF31" s="208"/>
      <c r="AG31" s="133"/>
      <c r="AH31" s="61"/>
      <c r="AI31" s="208">
        <v>0</v>
      </c>
      <c r="AL31" s="211"/>
      <c r="AM31" s="208">
        <v>0</v>
      </c>
      <c r="AN31" s="189"/>
      <c r="AO31" s="209"/>
      <c r="AP31" s="693"/>
      <c r="AQ31" s="413" t="s">
        <v>1112</v>
      </c>
    </row>
    <row r="32" spans="1:43" ht="25.5" x14ac:dyDescent="0.25">
      <c r="A32" s="693"/>
      <c r="B32" s="693"/>
      <c r="C32" s="693"/>
      <c r="D32" s="99"/>
      <c r="E32" s="201"/>
      <c r="F32" s="203"/>
      <c r="G32" s="61"/>
      <c r="H32" s="189">
        <v>0</v>
      </c>
      <c r="I32" s="133"/>
      <c r="J32" s="133"/>
      <c r="K32" s="61"/>
      <c r="L32" s="168"/>
      <c r="M32" s="61"/>
      <c r="N32" s="168"/>
      <c r="O32" s="61"/>
      <c r="P32" s="168"/>
      <c r="Q32" s="61"/>
      <c r="R32" s="168"/>
      <c r="T32" s="216"/>
      <c r="U32" s="211"/>
      <c r="V32" s="168"/>
      <c r="W32" s="211"/>
      <c r="X32" s="168"/>
      <c r="Y32" s="211"/>
      <c r="Z32" s="212"/>
      <c r="AA32" s="211"/>
      <c r="AB32" s="208"/>
      <c r="AC32" s="211"/>
      <c r="AD32" s="168"/>
      <c r="AE32" s="211"/>
      <c r="AF32" s="208"/>
      <c r="AG32" s="61"/>
      <c r="AH32" s="61"/>
      <c r="AI32" s="208">
        <v>0</v>
      </c>
      <c r="AL32" s="211"/>
      <c r="AM32" s="208">
        <v>0</v>
      </c>
      <c r="AN32" s="61"/>
      <c r="AP32" s="693"/>
      <c r="AQ32" s="413" t="s">
        <v>1112</v>
      </c>
    </row>
    <row r="33" spans="29:39" x14ac:dyDescent="0.25">
      <c r="AC33" s="217">
        <f>SUM(AC4:AC32)</f>
        <v>952000000</v>
      </c>
      <c r="AD33" s="217">
        <v>0</v>
      </c>
      <c r="AE33" s="217">
        <f>SUM(AE4:AE32)</f>
        <v>168000000</v>
      </c>
      <c r="AF33" s="217">
        <v>0</v>
      </c>
      <c r="AG33" s="217">
        <f>SUM(AG4:AG32)</f>
        <v>0</v>
      </c>
      <c r="AH33" s="217">
        <f>SUM(AH4:AH32)</f>
        <v>0</v>
      </c>
      <c r="AI33" s="217">
        <v>0</v>
      </c>
      <c r="AL33" s="217">
        <f>SUM(AL4:AL32)</f>
        <v>471000000</v>
      </c>
      <c r="AM33" s="218"/>
    </row>
  </sheetData>
  <mergeCells count="41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L1:R1"/>
    <mergeCell ref="S1:S3"/>
    <mergeCell ref="AH2:AI2"/>
    <mergeCell ref="AJ2:AK2"/>
    <mergeCell ref="T1:T3"/>
    <mergeCell ref="U1:AB1"/>
    <mergeCell ref="AC1:AN1"/>
    <mergeCell ref="A4:A32"/>
    <mergeCell ref="B4:B32"/>
    <mergeCell ref="C4:C23"/>
    <mergeCell ref="D4:D23"/>
    <mergeCell ref="E8:E14"/>
    <mergeCell ref="E15:E19"/>
    <mergeCell ref="E20:E23"/>
    <mergeCell ref="C24:C32"/>
    <mergeCell ref="AP4:AP32"/>
    <mergeCell ref="D24:D28"/>
    <mergeCell ref="E24:E26"/>
    <mergeCell ref="E27:E28"/>
    <mergeCell ref="AL2:AN2"/>
    <mergeCell ref="Y2:Z2"/>
    <mergeCell ref="AA2:AB2"/>
    <mergeCell ref="AC2:AD2"/>
    <mergeCell ref="AE2:AG2"/>
    <mergeCell ref="AO1:AQ2"/>
    <mergeCell ref="K2:L2"/>
    <mergeCell ref="M2:N2"/>
    <mergeCell ref="O2:P2"/>
    <mergeCell ref="Q2:R2"/>
    <mergeCell ref="U2:V2"/>
    <mergeCell ref="W2:X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opLeftCell="A23" workbookViewId="0">
      <selection activeCell="E23" sqref="E23:E26"/>
    </sheetView>
  </sheetViews>
  <sheetFormatPr baseColWidth="10" defaultRowHeight="15" x14ac:dyDescent="0.25"/>
  <cols>
    <col min="1" max="1" width="11" style="53" customWidth="1"/>
    <col min="2" max="3" width="11.42578125" style="53"/>
    <col min="4" max="4" width="30" style="53" customWidth="1"/>
    <col min="5" max="5" width="16.5703125" style="53" customWidth="1"/>
    <col min="6" max="6" width="20.28515625" style="53" customWidth="1"/>
    <col min="7" max="7" width="11.42578125" style="53" hidden="1" customWidth="1"/>
    <col min="8" max="8" width="13.42578125" style="53" customWidth="1"/>
    <col min="9" max="9" width="19.42578125" style="53" customWidth="1"/>
    <col min="10" max="10" width="11.42578125" style="53" hidden="1" customWidth="1"/>
    <col min="11" max="11" width="15" style="53" customWidth="1"/>
    <col min="12" max="12" width="8" style="53" customWidth="1"/>
    <col min="13" max="13" width="6" style="53" customWidth="1"/>
    <col min="14" max="14" width="8.7109375" style="53" customWidth="1"/>
    <col min="15" max="15" width="6.7109375" style="53" customWidth="1"/>
    <col min="16" max="16" width="8.42578125" style="53" customWidth="1"/>
    <col min="17" max="17" width="6.140625" style="53" customWidth="1"/>
    <col min="18" max="18" width="7.85546875" style="53" customWidth="1"/>
    <col min="19" max="19" width="6.5703125" style="53" customWidth="1"/>
    <col min="20" max="21" width="13.42578125" style="53" customWidth="1"/>
    <col min="22" max="22" width="12.7109375" style="53" customWidth="1"/>
    <col min="23" max="23" width="7.42578125" style="53" customWidth="1"/>
    <col min="24" max="24" width="11.5703125" style="53" customWidth="1"/>
    <col min="25" max="33" width="11.42578125" style="53"/>
    <col min="34" max="34" width="15.7109375" style="53" customWidth="1"/>
    <col min="35" max="40" width="11.42578125" style="53"/>
    <col min="41" max="41" width="14.7109375" style="53" customWidth="1"/>
    <col min="42" max="42" width="11.42578125" style="53" customWidth="1"/>
    <col min="43" max="43" width="11.42578125" style="53"/>
    <col min="44" max="44" width="20.28515625" style="53" customWidth="1"/>
    <col min="45" max="16384" width="11.42578125" style="53"/>
  </cols>
  <sheetData>
    <row r="1" spans="1:44" ht="15" customHeight="1" x14ac:dyDescent="0.25">
      <c r="A1" s="660" t="s">
        <v>0</v>
      </c>
      <c r="B1" s="661" t="s">
        <v>1</v>
      </c>
      <c r="C1" s="661" t="s">
        <v>2</v>
      </c>
      <c r="D1" s="783" t="s">
        <v>3</v>
      </c>
      <c r="E1" s="661" t="s">
        <v>4</v>
      </c>
      <c r="F1" s="661" t="s">
        <v>5</v>
      </c>
      <c r="G1" s="661" t="s">
        <v>6</v>
      </c>
      <c r="H1" s="661" t="s">
        <v>7</v>
      </c>
      <c r="I1" s="800" t="s">
        <v>8</v>
      </c>
      <c r="J1" s="662" t="s">
        <v>9</v>
      </c>
      <c r="K1" s="802" t="s">
        <v>9</v>
      </c>
      <c r="L1" s="351"/>
      <c r="M1" s="661" t="s">
        <v>10</v>
      </c>
      <c r="N1" s="661"/>
      <c r="O1" s="661"/>
      <c r="P1" s="661"/>
      <c r="Q1" s="661"/>
      <c r="R1" s="661"/>
      <c r="S1" s="661"/>
      <c r="T1" s="668" t="s">
        <v>889</v>
      </c>
      <c r="U1" s="666" t="s">
        <v>12</v>
      </c>
      <c r="V1" s="660" t="s">
        <v>13</v>
      </c>
      <c r="W1" s="661"/>
      <c r="X1" s="661"/>
      <c r="Y1" s="661"/>
      <c r="Z1" s="661"/>
      <c r="AA1" s="661"/>
      <c r="AB1" s="661"/>
      <c r="AC1" s="662"/>
      <c r="AD1" s="654" t="s">
        <v>14</v>
      </c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6"/>
      <c r="AP1" s="654" t="s">
        <v>15</v>
      </c>
      <c r="AQ1" s="655"/>
      <c r="AR1" s="656"/>
    </row>
    <row r="2" spans="1:44" ht="15" customHeight="1" x14ac:dyDescent="0.25">
      <c r="A2" s="648"/>
      <c r="B2" s="649"/>
      <c r="C2" s="649"/>
      <c r="D2" s="650"/>
      <c r="E2" s="649"/>
      <c r="F2" s="649"/>
      <c r="G2" s="649"/>
      <c r="H2" s="649"/>
      <c r="I2" s="801"/>
      <c r="J2" s="653"/>
      <c r="K2" s="803"/>
      <c r="L2" s="648">
        <v>2012</v>
      </c>
      <c r="M2" s="649"/>
      <c r="N2" s="649">
        <v>2013</v>
      </c>
      <c r="O2" s="649"/>
      <c r="P2" s="649">
        <v>2014</v>
      </c>
      <c r="Q2" s="649"/>
      <c r="R2" s="649">
        <v>2015</v>
      </c>
      <c r="S2" s="649"/>
      <c r="T2" s="669"/>
      <c r="U2" s="667"/>
      <c r="V2" s="648">
        <v>2012</v>
      </c>
      <c r="W2" s="649"/>
      <c r="X2" s="649">
        <v>2013</v>
      </c>
      <c r="Y2" s="649"/>
      <c r="Z2" s="649">
        <v>2014</v>
      </c>
      <c r="AA2" s="649"/>
      <c r="AB2" s="649">
        <v>2015</v>
      </c>
      <c r="AC2" s="653"/>
      <c r="AD2" s="648" t="s">
        <v>16</v>
      </c>
      <c r="AE2" s="649"/>
      <c r="AF2" s="650" t="s">
        <v>17</v>
      </c>
      <c r="AG2" s="651"/>
      <c r="AH2" s="652"/>
      <c r="AI2" s="649" t="s">
        <v>18</v>
      </c>
      <c r="AJ2" s="649"/>
      <c r="AK2" s="670" t="s">
        <v>19</v>
      </c>
      <c r="AL2" s="671"/>
      <c r="AM2" s="649" t="s">
        <v>20</v>
      </c>
      <c r="AN2" s="649"/>
      <c r="AO2" s="653"/>
      <c r="AP2" s="657"/>
      <c r="AQ2" s="658"/>
      <c r="AR2" s="659"/>
    </row>
    <row r="3" spans="1:44" ht="24" x14ac:dyDescent="0.25">
      <c r="A3" s="677"/>
      <c r="B3" s="678"/>
      <c r="C3" s="678"/>
      <c r="D3" s="784"/>
      <c r="E3" s="678"/>
      <c r="F3" s="678"/>
      <c r="G3" s="678"/>
      <c r="H3" s="678"/>
      <c r="I3" s="801"/>
      <c r="J3" s="680"/>
      <c r="K3" s="803"/>
      <c r="L3" s="352" t="s">
        <v>21</v>
      </c>
      <c r="M3" s="353" t="s">
        <v>22</v>
      </c>
      <c r="N3" s="353" t="s">
        <v>21</v>
      </c>
      <c r="O3" s="353" t="s">
        <v>22</v>
      </c>
      <c r="P3" s="353" t="s">
        <v>21</v>
      </c>
      <c r="Q3" s="353" t="s">
        <v>22</v>
      </c>
      <c r="R3" s="353" t="s">
        <v>21</v>
      </c>
      <c r="S3" s="353" t="s">
        <v>22</v>
      </c>
      <c r="T3" s="787"/>
      <c r="U3" s="667"/>
      <c r="V3" s="352" t="s">
        <v>23</v>
      </c>
      <c r="W3" s="353" t="s">
        <v>22</v>
      </c>
      <c r="X3" s="353" t="s">
        <v>23</v>
      </c>
      <c r="Y3" s="353" t="s">
        <v>22</v>
      </c>
      <c r="Z3" s="353" t="s">
        <v>23</v>
      </c>
      <c r="AA3" s="353" t="s">
        <v>22</v>
      </c>
      <c r="AB3" s="353" t="s">
        <v>23</v>
      </c>
      <c r="AC3" s="354" t="s">
        <v>22</v>
      </c>
      <c r="AD3" s="352" t="s">
        <v>23</v>
      </c>
      <c r="AE3" s="353" t="s">
        <v>22</v>
      </c>
      <c r="AF3" s="353" t="s">
        <v>23</v>
      </c>
      <c r="AG3" s="353" t="s">
        <v>22</v>
      </c>
      <c r="AH3" s="353" t="s">
        <v>24</v>
      </c>
      <c r="AI3" s="353" t="s">
        <v>23</v>
      </c>
      <c r="AJ3" s="353" t="s">
        <v>22</v>
      </c>
      <c r="AK3" s="59" t="s">
        <v>23</v>
      </c>
      <c r="AL3" s="59" t="s">
        <v>22</v>
      </c>
      <c r="AM3" s="359" t="s">
        <v>23</v>
      </c>
      <c r="AN3" s="353" t="s">
        <v>22</v>
      </c>
      <c r="AO3" s="79" t="s">
        <v>25</v>
      </c>
      <c r="AP3" s="353" t="s">
        <v>109</v>
      </c>
      <c r="AQ3" s="353" t="s">
        <v>113</v>
      </c>
      <c r="AR3" s="353" t="s">
        <v>111</v>
      </c>
    </row>
    <row r="4" spans="1:44" ht="75" customHeight="1" x14ac:dyDescent="0.25">
      <c r="A4" s="831" t="s">
        <v>26</v>
      </c>
      <c r="B4" s="788" t="s">
        <v>606</v>
      </c>
      <c r="C4" s="827" t="s">
        <v>607</v>
      </c>
      <c r="D4" s="808" t="s">
        <v>887</v>
      </c>
      <c r="E4" s="808" t="s">
        <v>595</v>
      </c>
      <c r="F4" s="307" t="s">
        <v>814</v>
      </c>
      <c r="G4" s="815"/>
      <c r="H4" s="400">
        <v>0</v>
      </c>
      <c r="I4" s="273" t="s">
        <v>944</v>
      </c>
      <c r="J4" s="63"/>
      <c r="K4" s="306" t="s">
        <v>945</v>
      </c>
      <c r="L4" s="308">
        <v>1200</v>
      </c>
      <c r="M4" s="65">
        <v>0.26</v>
      </c>
      <c r="N4" s="308">
        <v>3200</v>
      </c>
      <c r="O4" s="65">
        <v>0.69</v>
      </c>
      <c r="P4" s="308">
        <v>4200</v>
      </c>
      <c r="Q4" s="65">
        <v>0.91</v>
      </c>
      <c r="R4" s="308">
        <v>4600</v>
      </c>
      <c r="S4" s="65">
        <v>1</v>
      </c>
      <c r="T4" s="66">
        <v>200000</v>
      </c>
      <c r="U4" s="67">
        <v>200000</v>
      </c>
      <c r="V4" s="339">
        <v>59000</v>
      </c>
      <c r="W4" s="65">
        <v>0.3</v>
      </c>
      <c r="X4" s="68"/>
      <c r="Y4" s="65"/>
      <c r="Z4" s="68"/>
      <c r="AA4" s="65"/>
      <c r="AB4" s="68"/>
      <c r="AC4" s="65"/>
      <c r="AD4" s="68"/>
      <c r="AE4" s="65"/>
      <c r="AF4" s="68"/>
      <c r="AG4" s="65"/>
      <c r="AH4" s="63"/>
      <c r="AI4" s="63"/>
      <c r="AJ4" s="63"/>
      <c r="AK4" s="69"/>
      <c r="AL4" s="70"/>
      <c r="AM4" s="63"/>
      <c r="AN4" s="63"/>
      <c r="AO4" s="63"/>
      <c r="AP4" s="367" t="s">
        <v>808</v>
      </c>
      <c r="AQ4" s="367" t="s">
        <v>26</v>
      </c>
      <c r="AR4" s="367" t="s">
        <v>809</v>
      </c>
    </row>
    <row r="5" spans="1:44" ht="63.75" customHeight="1" x14ac:dyDescent="0.25">
      <c r="A5" s="832"/>
      <c r="B5" s="789"/>
      <c r="C5" s="828"/>
      <c r="D5" s="808"/>
      <c r="E5" s="808"/>
      <c r="F5" s="307" t="s">
        <v>815</v>
      </c>
      <c r="G5" s="815"/>
      <c r="H5" s="360">
        <v>2</v>
      </c>
      <c r="I5" s="316" t="s">
        <v>816</v>
      </c>
      <c r="J5" s="63"/>
      <c r="K5" s="306" t="s">
        <v>817</v>
      </c>
      <c r="L5" s="308"/>
      <c r="M5" s="65"/>
      <c r="N5" s="308">
        <v>20</v>
      </c>
      <c r="O5" s="65">
        <v>1</v>
      </c>
      <c r="P5" s="308"/>
      <c r="Q5" s="65"/>
      <c r="R5" s="308"/>
      <c r="S5" s="65"/>
      <c r="T5" s="66">
        <v>20000</v>
      </c>
      <c r="U5" s="67">
        <v>20000</v>
      </c>
      <c r="V5" s="68"/>
      <c r="W5" s="65"/>
      <c r="X5" s="68">
        <v>20000</v>
      </c>
      <c r="Y5" s="65">
        <v>1</v>
      </c>
      <c r="Z5" s="68"/>
      <c r="AA5" s="65"/>
      <c r="AB5" s="68"/>
      <c r="AC5" s="65">
        <v>1</v>
      </c>
      <c r="AD5" s="68">
        <v>10000</v>
      </c>
      <c r="AE5" s="65">
        <v>0.5</v>
      </c>
      <c r="AF5" s="68">
        <v>10000</v>
      </c>
      <c r="AG5" s="65">
        <v>0.5</v>
      </c>
      <c r="AH5" s="63"/>
      <c r="AI5" s="63"/>
      <c r="AJ5" s="68"/>
      <c r="AK5" s="69"/>
      <c r="AL5" s="70"/>
      <c r="AM5" s="63"/>
      <c r="AN5" s="63"/>
      <c r="AO5" s="63"/>
      <c r="AP5" s="367" t="s">
        <v>808</v>
      </c>
      <c r="AQ5" s="367" t="s">
        <v>26</v>
      </c>
      <c r="AR5" s="62" t="s">
        <v>946</v>
      </c>
    </row>
    <row r="6" spans="1:44" ht="79.5" customHeight="1" x14ac:dyDescent="0.25">
      <c r="A6" s="832"/>
      <c r="B6" s="789"/>
      <c r="C6" s="828"/>
      <c r="D6" s="808"/>
      <c r="E6" s="814"/>
      <c r="F6" s="364" t="s">
        <v>947</v>
      </c>
      <c r="G6" s="357"/>
      <c r="H6" s="360">
        <v>18</v>
      </c>
      <c r="I6" s="334" t="s">
        <v>866</v>
      </c>
      <c r="J6" s="63"/>
      <c r="K6" s="367" t="s">
        <v>867</v>
      </c>
      <c r="L6" s="308">
        <v>4</v>
      </c>
      <c r="M6" s="65">
        <v>0.25</v>
      </c>
      <c r="N6" s="308">
        <v>8</v>
      </c>
      <c r="O6" s="65">
        <v>0.5</v>
      </c>
      <c r="P6" s="308">
        <v>12</v>
      </c>
      <c r="Q6" s="65">
        <v>0.75</v>
      </c>
      <c r="R6" s="308">
        <v>17</v>
      </c>
      <c r="S6" s="65">
        <v>1</v>
      </c>
      <c r="T6" s="66">
        <v>400000</v>
      </c>
      <c r="U6" s="67">
        <v>400000</v>
      </c>
      <c r="V6" s="68">
        <v>100000</v>
      </c>
      <c r="W6" s="65">
        <v>0.25</v>
      </c>
      <c r="X6" s="68">
        <v>200000</v>
      </c>
      <c r="Y6" s="65">
        <v>0.5</v>
      </c>
      <c r="Z6" s="68">
        <v>300000</v>
      </c>
      <c r="AA6" s="65">
        <v>0.75</v>
      </c>
      <c r="AB6" s="68">
        <v>400000</v>
      </c>
      <c r="AC6" s="65">
        <v>1</v>
      </c>
      <c r="AD6" s="68">
        <v>50000</v>
      </c>
      <c r="AE6" s="65">
        <v>0.25</v>
      </c>
      <c r="AF6" s="68">
        <v>350000</v>
      </c>
      <c r="AG6" s="65">
        <v>0.75</v>
      </c>
      <c r="AH6" s="63"/>
      <c r="AI6" s="63"/>
      <c r="AJ6" s="63"/>
      <c r="AK6" s="71"/>
      <c r="AL6" s="70"/>
      <c r="AM6" s="63"/>
      <c r="AN6" s="63"/>
      <c r="AO6" s="63"/>
      <c r="AP6" s="367" t="s">
        <v>808</v>
      </c>
      <c r="AQ6" s="367" t="s">
        <v>26</v>
      </c>
      <c r="AR6" s="367" t="s">
        <v>948</v>
      </c>
    </row>
    <row r="7" spans="1:44" ht="91.5" customHeight="1" x14ac:dyDescent="0.25">
      <c r="A7" s="832"/>
      <c r="B7" s="789"/>
      <c r="C7" s="828"/>
      <c r="D7" s="808"/>
      <c r="E7" s="814"/>
      <c r="F7" s="785" t="s">
        <v>818</v>
      </c>
      <c r="G7" s="816"/>
      <c r="H7" s="364">
        <v>2</v>
      </c>
      <c r="I7" s="368" t="s">
        <v>888</v>
      </c>
      <c r="J7" s="63"/>
      <c r="K7" s="367" t="s">
        <v>820</v>
      </c>
      <c r="L7" s="308"/>
      <c r="M7" s="65"/>
      <c r="N7" s="308">
        <v>4</v>
      </c>
      <c r="O7" s="65">
        <v>0.8</v>
      </c>
      <c r="P7" s="308">
        <v>5</v>
      </c>
      <c r="Q7" s="65">
        <v>1</v>
      </c>
      <c r="R7" s="308"/>
      <c r="S7" s="65"/>
      <c r="T7" s="66">
        <v>20000</v>
      </c>
      <c r="U7" s="67">
        <v>20000</v>
      </c>
      <c r="V7" s="68">
        <v>5000</v>
      </c>
      <c r="W7" s="65">
        <v>0.25</v>
      </c>
      <c r="X7" s="68">
        <v>10000</v>
      </c>
      <c r="Y7" s="65">
        <v>0.5</v>
      </c>
      <c r="Z7" s="68">
        <v>15000</v>
      </c>
      <c r="AA7" s="65">
        <v>0.75</v>
      </c>
      <c r="AB7" s="68">
        <v>20000</v>
      </c>
      <c r="AC7" s="65">
        <v>1</v>
      </c>
      <c r="AD7" s="68">
        <v>20000</v>
      </c>
      <c r="AE7" s="65">
        <v>1</v>
      </c>
      <c r="AF7" s="68"/>
      <c r="AG7" s="65"/>
      <c r="AH7" s="63"/>
      <c r="AI7" s="63"/>
      <c r="AJ7" s="63"/>
      <c r="AK7" s="69"/>
      <c r="AL7" s="70"/>
      <c r="AM7" s="63"/>
      <c r="AN7" s="63"/>
      <c r="AO7" s="63"/>
      <c r="AP7" s="367" t="s">
        <v>808</v>
      </c>
      <c r="AQ7" s="367" t="s">
        <v>26</v>
      </c>
      <c r="AR7" s="62" t="s">
        <v>946</v>
      </c>
    </row>
    <row r="8" spans="1:44" ht="60.75" customHeight="1" x14ac:dyDescent="0.25">
      <c r="A8" s="832"/>
      <c r="B8" s="789"/>
      <c r="C8" s="828"/>
      <c r="D8" s="808"/>
      <c r="E8" s="814"/>
      <c r="F8" s="786"/>
      <c r="G8" s="816"/>
      <c r="H8" s="364">
        <v>0</v>
      </c>
      <c r="I8" s="401" t="s">
        <v>879</v>
      </c>
      <c r="J8" s="63"/>
      <c r="K8" s="367" t="s">
        <v>819</v>
      </c>
      <c r="L8" s="308">
        <v>200</v>
      </c>
      <c r="M8" s="65"/>
      <c r="N8" s="308"/>
      <c r="O8" s="65"/>
      <c r="P8" s="308"/>
      <c r="Q8" s="65"/>
      <c r="R8" s="308"/>
      <c r="S8" s="65">
        <v>1</v>
      </c>
      <c r="T8" s="66">
        <v>200000</v>
      </c>
      <c r="U8" s="67">
        <v>400000</v>
      </c>
      <c r="V8" s="68">
        <v>50000</v>
      </c>
      <c r="W8" s="65">
        <v>0.25</v>
      </c>
      <c r="X8" s="68">
        <v>100000</v>
      </c>
      <c r="Y8" s="65">
        <v>0.5</v>
      </c>
      <c r="Z8" s="68">
        <v>150000</v>
      </c>
      <c r="AA8" s="65">
        <v>0.75</v>
      </c>
      <c r="AB8" s="68">
        <v>200000</v>
      </c>
      <c r="AC8" s="65">
        <v>1</v>
      </c>
      <c r="AD8" s="68">
        <v>200000</v>
      </c>
      <c r="AE8" s="65">
        <v>0.5</v>
      </c>
      <c r="AF8" s="68"/>
      <c r="AG8" s="65"/>
      <c r="AH8" s="63"/>
      <c r="AI8" s="63"/>
      <c r="AJ8" s="63"/>
      <c r="AK8" s="69"/>
      <c r="AL8" s="70"/>
      <c r="AM8" s="323">
        <v>200000</v>
      </c>
      <c r="AN8" s="322">
        <v>0.5</v>
      </c>
      <c r="AO8" s="63" t="s">
        <v>949</v>
      </c>
      <c r="AP8" s="367" t="s">
        <v>808</v>
      </c>
      <c r="AQ8" s="367" t="s">
        <v>26</v>
      </c>
      <c r="AR8" s="62" t="s">
        <v>949</v>
      </c>
    </row>
    <row r="9" spans="1:44" ht="71.25" customHeight="1" x14ac:dyDescent="0.25">
      <c r="A9" s="832"/>
      <c r="B9" s="789"/>
      <c r="C9" s="828"/>
      <c r="D9" s="808"/>
      <c r="E9" s="813"/>
      <c r="F9" s="365" t="s">
        <v>825</v>
      </c>
      <c r="G9" s="816"/>
      <c r="H9" s="364">
        <v>1</v>
      </c>
      <c r="I9" s="364" t="s">
        <v>826</v>
      </c>
      <c r="J9" s="63"/>
      <c r="K9" s="367" t="s">
        <v>827</v>
      </c>
      <c r="L9" s="308"/>
      <c r="M9" s="65"/>
      <c r="N9" s="308">
        <v>3</v>
      </c>
      <c r="O9" s="65">
        <v>0.5</v>
      </c>
      <c r="P9" s="308">
        <v>6</v>
      </c>
      <c r="Q9" s="65">
        <v>1</v>
      </c>
      <c r="R9" s="308"/>
      <c r="S9" s="65"/>
      <c r="T9" s="66">
        <v>15000</v>
      </c>
      <c r="U9" s="67">
        <v>15000</v>
      </c>
      <c r="V9" s="68"/>
      <c r="W9" s="65"/>
      <c r="X9" s="68">
        <v>5000</v>
      </c>
      <c r="Y9" s="65">
        <v>0.33</v>
      </c>
      <c r="Z9" s="68">
        <v>10000</v>
      </c>
      <c r="AA9" s="65">
        <v>0.66</v>
      </c>
      <c r="AB9" s="68">
        <v>15000</v>
      </c>
      <c r="AC9" s="326">
        <v>1</v>
      </c>
      <c r="AD9" s="68">
        <v>15000</v>
      </c>
      <c r="AE9" s="65">
        <v>1</v>
      </c>
      <c r="AF9" s="68"/>
      <c r="AG9" s="65"/>
      <c r="AH9" s="63"/>
      <c r="AI9" s="63"/>
      <c r="AJ9" s="63"/>
      <c r="AK9" s="71"/>
      <c r="AL9" s="70"/>
      <c r="AM9" s="63"/>
      <c r="AN9" s="63"/>
      <c r="AO9" s="63"/>
      <c r="AP9" s="367" t="s">
        <v>808</v>
      </c>
      <c r="AQ9" s="367" t="s">
        <v>26</v>
      </c>
      <c r="AR9" s="367" t="s">
        <v>950</v>
      </c>
    </row>
    <row r="10" spans="1:44" ht="43.5" customHeight="1" x14ac:dyDescent="0.25">
      <c r="A10" s="832"/>
      <c r="B10" s="789"/>
      <c r="C10" s="828"/>
      <c r="D10" s="808"/>
      <c r="E10" s="812" t="s">
        <v>824</v>
      </c>
      <c r="F10" s="358" t="s">
        <v>823</v>
      </c>
      <c r="G10" s="796"/>
      <c r="H10" s="360">
        <v>150</v>
      </c>
      <c r="I10" s="335" t="s">
        <v>821</v>
      </c>
      <c r="J10" s="63"/>
      <c r="K10" s="313" t="s">
        <v>822</v>
      </c>
      <c r="L10" s="308">
        <v>200</v>
      </c>
      <c r="M10" s="65">
        <v>0.66600000000000004</v>
      </c>
      <c r="N10" s="308">
        <v>210</v>
      </c>
      <c r="O10" s="65">
        <v>0.7</v>
      </c>
      <c r="P10" s="308">
        <v>230</v>
      </c>
      <c r="Q10" s="65">
        <v>0.78</v>
      </c>
      <c r="R10" s="308">
        <v>250</v>
      </c>
      <c r="S10" s="65">
        <v>1</v>
      </c>
      <c r="T10" s="66"/>
      <c r="U10" s="67"/>
      <c r="V10" s="68"/>
      <c r="W10" s="65"/>
      <c r="X10" s="68"/>
      <c r="Y10" s="65"/>
      <c r="Z10" s="68"/>
      <c r="AA10" s="65"/>
      <c r="AB10" s="68"/>
      <c r="AC10" s="65"/>
      <c r="AD10" s="68"/>
      <c r="AE10" s="65"/>
      <c r="AF10" s="68"/>
      <c r="AG10" s="65"/>
      <c r="AH10" s="63"/>
      <c r="AI10" s="63"/>
      <c r="AJ10" s="63"/>
      <c r="AK10" s="71"/>
      <c r="AL10" s="70"/>
      <c r="AM10" s="63"/>
      <c r="AN10" s="63"/>
      <c r="AO10" s="63"/>
      <c r="AP10" s="367" t="s">
        <v>808</v>
      </c>
      <c r="AQ10" s="367" t="s">
        <v>26</v>
      </c>
      <c r="AR10" s="62" t="s">
        <v>951</v>
      </c>
    </row>
    <row r="11" spans="1:44" ht="60.75" customHeight="1" x14ac:dyDescent="0.25">
      <c r="A11" s="832"/>
      <c r="B11" s="789"/>
      <c r="C11" s="828"/>
      <c r="D11" s="809"/>
      <c r="E11" s="813"/>
      <c r="F11" s="316" t="s">
        <v>828</v>
      </c>
      <c r="G11" s="796"/>
      <c r="H11" s="360">
        <v>10</v>
      </c>
      <c r="I11" s="368" t="s">
        <v>829</v>
      </c>
      <c r="J11" s="63"/>
      <c r="K11" s="313" t="s">
        <v>830</v>
      </c>
      <c r="L11" s="308"/>
      <c r="M11" s="65"/>
      <c r="N11" s="308">
        <v>25</v>
      </c>
      <c r="O11" s="65">
        <v>0.5</v>
      </c>
      <c r="P11" s="308">
        <v>35</v>
      </c>
      <c r="Q11" s="65">
        <v>0.7</v>
      </c>
      <c r="R11" s="308">
        <v>50</v>
      </c>
      <c r="S11" s="65">
        <v>1</v>
      </c>
      <c r="T11" s="66">
        <v>60000</v>
      </c>
      <c r="U11" s="67">
        <v>60000</v>
      </c>
      <c r="V11" s="68"/>
      <c r="W11" s="65"/>
      <c r="X11" s="68">
        <v>20000</v>
      </c>
      <c r="Y11" s="65">
        <v>0.33</v>
      </c>
      <c r="Z11" s="68">
        <v>40000</v>
      </c>
      <c r="AA11" s="65">
        <v>0.66</v>
      </c>
      <c r="AB11" s="68">
        <v>60000</v>
      </c>
      <c r="AC11" s="65">
        <v>1</v>
      </c>
      <c r="AD11" s="68"/>
      <c r="AE11" s="65"/>
      <c r="AF11" s="68">
        <v>60000</v>
      </c>
      <c r="AG11" s="65">
        <v>1</v>
      </c>
      <c r="AH11" s="328" t="s">
        <v>952</v>
      </c>
      <c r="AI11" s="322"/>
      <c r="AJ11" s="63"/>
      <c r="AK11" s="69"/>
      <c r="AL11" s="70"/>
      <c r="AM11" s="63"/>
      <c r="AN11" s="63"/>
      <c r="AO11" s="63"/>
      <c r="AP11" s="367" t="s">
        <v>808</v>
      </c>
      <c r="AQ11" s="367" t="s">
        <v>26</v>
      </c>
      <c r="AR11" s="62"/>
    </row>
    <row r="12" spans="1:44" ht="48.75" customHeight="1" x14ac:dyDescent="0.25">
      <c r="A12" s="832"/>
      <c r="B12" s="789"/>
      <c r="C12" s="828"/>
      <c r="D12" s="793" t="s">
        <v>831</v>
      </c>
      <c r="E12" s="332" t="s">
        <v>832</v>
      </c>
      <c r="F12" s="316" t="s">
        <v>953</v>
      </c>
      <c r="G12" s="357"/>
      <c r="H12" s="402">
        <v>800</v>
      </c>
      <c r="I12" s="362" t="s">
        <v>954</v>
      </c>
      <c r="J12" s="309"/>
      <c r="K12" s="325" t="s">
        <v>955</v>
      </c>
      <c r="L12" s="309"/>
      <c r="M12" s="309"/>
      <c r="N12" s="309">
        <v>100</v>
      </c>
      <c r="O12" s="320">
        <v>0.125</v>
      </c>
      <c r="P12" s="309">
        <v>200</v>
      </c>
      <c r="Q12" s="309">
        <v>26</v>
      </c>
      <c r="R12" s="309">
        <v>300</v>
      </c>
      <c r="S12" s="320">
        <v>0.3</v>
      </c>
      <c r="T12" s="321">
        <v>653000</v>
      </c>
      <c r="U12" s="321">
        <v>1360</v>
      </c>
      <c r="V12" s="321">
        <v>200000</v>
      </c>
      <c r="W12" s="320">
        <v>0.3</v>
      </c>
      <c r="X12" s="321">
        <v>375000</v>
      </c>
      <c r="Y12" s="320">
        <v>0.57430000000000003</v>
      </c>
      <c r="Z12" s="321">
        <v>525000</v>
      </c>
      <c r="AA12" s="320">
        <v>0.8</v>
      </c>
      <c r="AB12" s="321">
        <v>653000</v>
      </c>
      <c r="AC12" s="324">
        <v>1</v>
      </c>
      <c r="AD12" s="309"/>
      <c r="AE12" s="309"/>
      <c r="AF12" s="321">
        <v>653000</v>
      </c>
      <c r="AG12" s="320">
        <v>0.5</v>
      </c>
      <c r="AH12" s="327" t="s">
        <v>880</v>
      </c>
      <c r="AI12" s="320"/>
      <c r="AJ12" s="325"/>
      <c r="AK12" s="309"/>
      <c r="AL12" s="309"/>
      <c r="AM12" s="321">
        <v>653000</v>
      </c>
      <c r="AN12" s="320">
        <v>0.5</v>
      </c>
      <c r="AO12" s="325" t="s">
        <v>956</v>
      </c>
      <c r="AP12" s="367" t="s">
        <v>808</v>
      </c>
      <c r="AQ12" s="367" t="s">
        <v>26</v>
      </c>
      <c r="AR12" s="312" t="s">
        <v>957</v>
      </c>
    </row>
    <row r="13" spans="1:44" ht="48.75" customHeight="1" x14ac:dyDescent="0.25">
      <c r="A13" s="832"/>
      <c r="B13" s="789"/>
      <c r="C13" s="828"/>
      <c r="D13" s="794"/>
      <c r="E13" s="821" t="s">
        <v>833</v>
      </c>
      <c r="F13" s="316" t="s">
        <v>869</v>
      </c>
      <c r="G13" s="357"/>
      <c r="H13" s="403">
        <v>0</v>
      </c>
      <c r="I13" s="340" t="s">
        <v>873</v>
      </c>
      <c r="J13" s="309"/>
      <c r="K13" s="325" t="s">
        <v>868</v>
      </c>
      <c r="L13" s="309">
        <v>0.25</v>
      </c>
      <c r="M13" s="320">
        <v>0.25</v>
      </c>
      <c r="N13" s="309">
        <v>0.5</v>
      </c>
      <c r="O13" s="320">
        <v>0.5</v>
      </c>
      <c r="P13" s="309">
        <v>0.75</v>
      </c>
      <c r="Q13" s="320">
        <v>0.75</v>
      </c>
      <c r="R13" s="309">
        <v>1</v>
      </c>
      <c r="S13" s="320">
        <v>1</v>
      </c>
      <c r="T13" s="321">
        <v>20000</v>
      </c>
      <c r="U13" s="321">
        <v>20000</v>
      </c>
      <c r="V13" s="309"/>
      <c r="W13" s="309"/>
      <c r="X13" s="321">
        <v>10000</v>
      </c>
      <c r="Y13" s="320">
        <v>0.5</v>
      </c>
      <c r="Z13" s="321">
        <v>20000</v>
      </c>
      <c r="AA13" s="320">
        <v>1</v>
      </c>
      <c r="AB13" s="321">
        <v>20000</v>
      </c>
      <c r="AC13" s="320">
        <v>1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67" t="s">
        <v>808</v>
      </c>
      <c r="AQ13" s="367" t="s">
        <v>26</v>
      </c>
      <c r="AR13" s="309" t="s">
        <v>946</v>
      </c>
    </row>
    <row r="14" spans="1:44" ht="66.75" customHeight="1" x14ac:dyDescent="0.25">
      <c r="A14" s="832"/>
      <c r="B14" s="789"/>
      <c r="C14" s="828"/>
      <c r="D14" s="794"/>
      <c r="E14" s="822"/>
      <c r="F14" s="316" t="s">
        <v>842</v>
      </c>
      <c r="G14" s="357"/>
      <c r="H14" s="402">
        <v>1</v>
      </c>
      <c r="I14" s="362" t="s">
        <v>958</v>
      </c>
      <c r="J14" s="309"/>
      <c r="K14" s="312" t="s">
        <v>959</v>
      </c>
      <c r="L14" s="309">
        <v>2</v>
      </c>
      <c r="M14" s="320">
        <v>0.25</v>
      </c>
      <c r="N14" s="309">
        <v>4</v>
      </c>
      <c r="O14" s="320">
        <v>0.5</v>
      </c>
      <c r="P14" s="309">
        <v>6</v>
      </c>
      <c r="Q14" s="320">
        <v>0.75</v>
      </c>
      <c r="R14" s="309">
        <v>8</v>
      </c>
      <c r="S14" s="320">
        <v>1</v>
      </c>
      <c r="T14" s="321">
        <v>50000</v>
      </c>
      <c r="U14" s="321">
        <v>50000</v>
      </c>
      <c r="V14" s="309"/>
      <c r="W14" s="309"/>
      <c r="X14" s="321">
        <v>20000</v>
      </c>
      <c r="Y14" s="320">
        <v>0.4</v>
      </c>
      <c r="Z14" s="321">
        <v>40000</v>
      </c>
      <c r="AA14" s="320">
        <v>0.8</v>
      </c>
      <c r="AB14" s="321">
        <v>50000</v>
      </c>
      <c r="AC14" s="320">
        <v>1</v>
      </c>
      <c r="AD14" s="321">
        <v>50000</v>
      </c>
      <c r="AE14" s="320">
        <v>1</v>
      </c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67" t="s">
        <v>808</v>
      </c>
      <c r="AQ14" s="367" t="s">
        <v>26</v>
      </c>
      <c r="AR14" s="309" t="s">
        <v>946</v>
      </c>
    </row>
    <row r="15" spans="1:44" ht="59.25" customHeight="1" x14ac:dyDescent="0.25">
      <c r="A15" s="832"/>
      <c r="B15" s="789"/>
      <c r="C15" s="828"/>
      <c r="D15" s="795"/>
      <c r="E15" s="822"/>
      <c r="F15" s="358" t="s">
        <v>605</v>
      </c>
      <c r="G15" s="357">
        <v>150</v>
      </c>
      <c r="H15" s="799">
        <v>0</v>
      </c>
      <c r="I15" s="817" t="s">
        <v>960</v>
      </c>
      <c r="J15" s="309"/>
      <c r="K15" s="792" t="s">
        <v>834</v>
      </c>
      <c r="L15" s="309">
        <v>2</v>
      </c>
      <c r="M15" s="320">
        <v>0.25</v>
      </c>
      <c r="N15" s="309">
        <v>4</v>
      </c>
      <c r="O15" s="320">
        <v>0.5</v>
      </c>
      <c r="P15" s="309">
        <v>6</v>
      </c>
      <c r="Q15" s="320">
        <v>0.75</v>
      </c>
      <c r="R15" s="309">
        <v>8</v>
      </c>
      <c r="S15" s="320">
        <v>1</v>
      </c>
      <c r="T15" s="309">
        <v>30000</v>
      </c>
      <c r="U15" s="309">
        <v>30000</v>
      </c>
      <c r="V15" s="321">
        <v>7000</v>
      </c>
      <c r="W15" s="309">
        <v>23</v>
      </c>
      <c r="X15" s="321">
        <v>14000</v>
      </c>
      <c r="Y15" s="320">
        <v>0.46</v>
      </c>
      <c r="Z15" s="321">
        <v>21000</v>
      </c>
      <c r="AA15" s="320">
        <v>0.69</v>
      </c>
      <c r="AB15" s="321">
        <v>30000</v>
      </c>
      <c r="AC15" s="320">
        <v>1</v>
      </c>
      <c r="AD15" s="321">
        <v>30000</v>
      </c>
      <c r="AE15" s="320">
        <v>1</v>
      </c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67" t="s">
        <v>808</v>
      </c>
      <c r="AQ15" s="367" t="s">
        <v>26</v>
      </c>
      <c r="AR15" s="309"/>
    </row>
    <row r="16" spans="1:44" ht="24" hidden="1" customHeight="1" x14ac:dyDescent="0.25">
      <c r="A16" s="832"/>
      <c r="B16" s="789"/>
      <c r="C16" s="828"/>
      <c r="D16" s="795"/>
      <c r="E16" s="823"/>
      <c r="F16" s="305"/>
      <c r="G16" s="357">
        <v>0</v>
      </c>
      <c r="H16" s="799"/>
      <c r="I16" s="817"/>
      <c r="J16" s="309"/>
      <c r="K16" s="792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67" t="s">
        <v>808</v>
      </c>
      <c r="AQ16" s="367" t="s">
        <v>26</v>
      </c>
      <c r="AR16" s="309"/>
    </row>
    <row r="17" spans="1:44" ht="62.25" customHeight="1" x14ac:dyDescent="0.25">
      <c r="A17" s="832"/>
      <c r="B17" s="789"/>
      <c r="C17" s="828"/>
      <c r="D17" s="795"/>
      <c r="E17" s="333" t="s">
        <v>835</v>
      </c>
      <c r="F17" s="364" t="s">
        <v>836</v>
      </c>
      <c r="G17" s="357">
        <v>0</v>
      </c>
      <c r="H17" s="360">
        <v>2</v>
      </c>
      <c r="I17" s="362" t="s">
        <v>874</v>
      </c>
      <c r="J17" s="309"/>
      <c r="K17" s="312" t="s">
        <v>837</v>
      </c>
      <c r="L17" s="309">
        <v>2</v>
      </c>
      <c r="M17" s="320">
        <v>0.25</v>
      </c>
      <c r="N17" s="309">
        <v>4</v>
      </c>
      <c r="O17" s="320">
        <v>0.5</v>
      </c>
      <c r="P17" s="309">
        <v>6</v>
      </c>
      <c r="Q17" s="320">
        <v>0.75</v>
      </c>
      <c r="R17" s="309">
        <v>8</v>
      </c>
      <c r="S17" s="320">
        <v>1</v>
      </c>
      <c r="T17" s="309">
        <v>80000</v>
      </c>
      <c r="U17" s="309">
        <v>80000</v>
      </c>
      <c r="V17" s="321">
        <v>20000</v>
      </c>
      <c r="W17" s="320">
        <v>0.25</v>
      </c>
      <c r="X17" s="321">
        <v>40000</v>
      </c>
      <c r="Y17" s="320">
        <v>0.5</v>
      </c>
      <c r="Z17" s="321">
        <v>60000</v>
      </c>
      <c r="AA17" s="320">
        <v>0.75</v>
      </c>
      <c r="AB17" s="321">
        <v>80000</v>
      </c>
      <c r="AC17" s="320">
        <v>1</v>
      </c>
      <c r="AD17" s="321">
        <v>80000</v>
      </c>
      <c r="AE17" s="320">
        <v>1</v>
      </c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67" t="s">
        <v>808</v>
      </c>
      <c r="AQ17" s="367" t="s">
        <v>26</v>
      </c>
      <c r="AR17" s="309"/>
    </row>
    <row r="18" spans="1:44" ht="65.25" customHeight="1" x14ac:dyDescent="0.25">
      <c r="A18" s="832"/>
      <c r="B18" s="789"/>
      <c r="C18" s="828"/>
      <c r="D18" s="788" t="s">
        <v>872</v>
      </c>
      <c r="E18" s="790" t="s">
        <v>838</v>
      </c>
      <c r="F18" s="358" t="s">
        <v>865</v>
      </c>
      <c r="G18" s="796">
        <v>0</v>
      </c>
      <c r="H18" s="799">
        <v>0</v>
      </c>
      <c r="I18" s="797" t="s">
        <v>839</v>
      </c>
      <c r="J18" s="63"/>
      <c r="K18" s="313" t="s">
        <v>840</v>
      </c>
      <c r="L18" s="308"/>
      <c r="M18" s="65"/>
      <c r="N18" s="308">
        <v>100</v>
      </c>
      <c r="O18" s="65">
        <v>0.4</v>
      </c>
      <c r="P18" s="308">
        <v>150</v>
      </c>
      <c r="Q18" s="65">
        <v>0.6</v>
      </c>
      <c r="R18" s="308">
        <v>250</v>
      </c>
      <c r="S18" s="65">
        <v>1</v>
      </c>
      <c r="T18" s="66">
        <v>210000</v>
      </c>
      <c r="U18" s="67">
        <v>210000</v>
      </c>
      <c r="V18" s="68"/>
      <c r="W18" s="65"/>
      <c r="X18" s="329">
        <v>70000</v>
      </c>
      <c r="Y18" s="65">
        <v>0.33</v>
      </c>
      <c r="Z18" s="68">
        <v>140000</v>
      </c>
      <c r="AA18" s="65">
        <v>0.66</v>
      </c>
      <c r="AB18" s="68">
        <v>210000</v>
      </c>
      <c r="AC18" s="65">
        <v>1</v>
      </c>
      <c r="AD18" s="68">
        <v>100000</v>
      </c>
      <c r="AE18" s="65">
        <v>0.47</v>
      </c>
      <c r="AF18" s="68">
        <v>110000</v>
      </c>
      <c r="AG18" s="65">
        <v>0.53</v>
      </c>
      <c r="AH18" s="63" t="s">
        <v>881</v>
      </c>
      <c r="AI18" s="63"/>
      <c r="AJ18" s="68"/>
      <c r="AK18" s="69"/>
      <c r="AL18" s="70"/>
      <c r="AM18" s="63"/>
      <c r="AN18" s="63"/>
      <c r="AO18" s="63"/>
      <c r="AP18" s="367" t="s">
        <v>808</v>
      </c>
      <c r="AQ18" s="367" t="s">
        <v>26</v>
      </c>
      <c r="AR18" s="62" t="s">
        <v>890</v>
      </c>
    </row>
    <row r="19" spans="1:44" ht="24" hidden="1" customHeight="1" x14ac:dyDescent="0.25">
      <c r="A19" s="832"/>
      <c r="B19" s="789"/>
      <c r="C19" s="828"/>
      <c r="D19" s="789"/>
      <c r="E19" s="791"/>
      <c r="F19" s="62"/>
      <c r="G19" s="796"/>
      <c r="H19" s="799"/>
      <c r="I19" s="798"/>
      <c r="J19" s="63"/>
      <c r="K19" s="63"/>
      <c r="L19" s="308"/>
      <c r="M19" s="65"/>
      <c r="N19" s="308"/>
      <c r="O19" s="65"/>
      <c r="P19" s="308"/>
      <c r="Q19" s="65"/>
      <c r="R19" s="308"/>
      <c r="S19" s="65"/>
      <c r="T19" s="66"/>
      <c r="U19" s="67"/>
      <c r="V19" s="68"/>
      <c r="W19" s="65"/>
      <c r="X19" s="68"/>
      <c r="Y19" s="65"/>
      <c r="Z19" s="68"/>
      <c r="AA19" s="65"/>
      <c r="AB19" s="68"/>
      <c r="AC19" s="65"/>
      <c r="AD19" s="68"/>
      <c r="AE19" s="65"/>
      <c r="AF19" s="68"/>
      <c r="AG19" s="65"/>
      <c r="AH19" s="63"/>
      <c r="AI19" s="63"/>
      <c r="AJ19" s="63"/>
      <c r="AK19" s="71"/>
      <c r="AL19" s="70"/>
      <c r="AM19" s="63"/>
      <c r="AN19" s="63"/>
      <c r="AO19" s="63"/>
      <c r="AP19" s="367" t="s">
        <v>808</v>
      </c>
      <c r="AQ19" s="367" t="s">
        <v>26</v>
      </c>
      <c r="AR19" s="62"/>
    </row>
    <row r="20" spans="1:44" ht="81" customHeight="1" x14ac:dyDescent="0.25">
      <c r="A20" s="832"/>
      <c r="B20" s="789"/>
      <c r="C20" s="828"/>
      <c r="D20" s="789"/>
      <c r="E20" s="791"/>
      <c r="F20" s="313" t="s">
        <v>882</v>
      </c>
      <c r="G20" s="796">
        <v>10</v>
      </c>
      <c r="H20" s="358">
        <v>0</v>
      </c>
      <c r="I20" s="362" t="s">
        <v>875</v>
      </c>
      <c r="J20" s="63"/>
      <c r="K20" s="315" t="s">
        <v>961</v>
      </c>
      <c r="L20" s="404">
        <v>3</v>
      </c>
      <c r="M20" s="336">
        <v>0.5</v>
      </c>
      <c r="N20" s="308">
        <v>4</v>
      </c>
      <c r="O20" s="65">
        <v>0.67</v>
      </c>
      <c r="P20" s="308">
        <v>5</v>
      </c>
      <c r="Q20" s="65">
        <v>0.84</v>
      </c>
      <c r="R20" s="308">
        <v>6</v>
      </c>
      <c r="S20" s="65">
        <v>1</v>
      </c>
      <c r="T20" s="66">
        <v>200000</v>
      </c>
      <c r="U20" s="67">
        <v>200000</v>
      </c>
      <c r="V20" s="68">
        <v>50000</v>
      </c>
      <c r="W20" s="65">
        <v>0.25</v>
      </c>
      <c r="X20" s="68">
        <v>100000</v>
      </c>
      <c r="Y20" s="65">
        <v>0.5</v>
      </c>
      <c r="Z20" s="68">
        <v>150000</v>
      </c>
      <c r="AA20" s="65">
        <v>0.75</v>
      </c>
      <c r="AB20" s="68">
        <v>200000</v>
      </c>
      <c r="AC20" s="65"/>
      <c r="AD20" s="68"/>
      <c r="AE20" s="65"/>
      <c r="AF20" s="68">
        <v>100000</v>
      </c>
      <c r="AG20" s="65"/>
      <c r="AH20" s="63" t="s">
        <v>881</v>
      </c>
      <c r="AI20" s="63"/>
      <c r="AJ20" s="63"/>
      <c r="AK20" s="69"/>
      <c r="AL20" s="70"/>
      <c r="AM20" s="63"/>
      <c r="AN20" s="63"/>
      <c r="AO20" s="63"/>
      <c r="AP20" s="367" t="s">
        <v>808</v>
      </c>
      <c r="AQ20" s="367" t="s">
        <v>26</v>
      </c>
      <c r="AR20" s="62"/>
    </row>
    <row r="21" spans="1:44" ht="61.5" customHeight="1" x14ac:dyDescent="0.25">
      <c r="A21" s="832"/>
      <c r="B21" s="789"/>
      <c r="C21" s="828"/>
      <c r="D21" s="789"/>
      <c r="E21" s="791"/>
      <c r="F21" s="313" t="s">
        <v>848</v>
      </c>
      <c r="G21" s="796"/>
      <c r="H21" s="358">
        <v>0</v>
      </c>
      <c r="I21" s="362" t="s">
        <v>962</v>
      </c>
      <c r="J21" s="63"/>
      <c r="K21" s="315" t="s">
        <v>851</v>
      </c>
      <c r="L21" s="337"/>
      <c r="M21" s="338"/>
      <c r="N21" s="308">
        <v>2</v>
      </c>
      <c r="O21" s="65">
        <v>0.33</v>
      </c>
      <c r="P21" s="308">
        <v>4</v>
      </c>
      <c r="Q21" s="65">
        <v>0.66</v>
      </c>
      <c r="R21" s="308">
        <v>6</v>
      </c>
      <c r="S21" s="65">
        <v>1</v>
      </c>
      <c r="T21" s="66">
        <v>30000</v>
      </c>
      <c r="U21" s="67">
        <v>30000</v>
      </c>
      <c r="V21" s="68"/>
      <c r="W21" s="65"/>
      <c r="X21" s="68">
        <v>10000</v>
      </c>
      <c r="Y21" s="65">
        <v>0.33</v>
      </c>
      <c r="Z21" s="68">
        <v>20000</v>
      </c>
      <c r="AA21" s="65">
        <v>0.66</v>
      </c>
      <c r="AB21" s="68">
        <v>30000</v>
      </c>
      <c r="AC21" s="65">
        <v>1</v>
      </c>
      <c r="AD21" s="68">
        <v>30000</v>
      </c>
      <c r="AE21" s="65">
        <v>1</v>
      </c>
      <c r="AF21" s="68"/>
      <c r="AG21" s="65"/>
      <c r="AH21" s="63"/>
      <c r="AI21" s="63"/>
      <c r="AJ21" s="63"/>
      <c r="AK21" s="69"/>
      <c r="AL21" s="70"/>
      <c r="AM21" s="63"/>
      <c r="AN21" s="63"/>
      <c r="AO21" s="63"/>
      <c r="AP21" s="367"/>
      <c r="AQ21" s="367"/>
      <c r="AR21" s="62"/>
    </row>
    <row r="22" spans="1:44" ht="60.75" customHeight="1" x14ac:dyDescent="0.25">
      <c r="A22" s="832"/>
      <c r="B22" s="789"/>
      <c r="C22" s="828"/>
      <c r="D22" s="789"/>
      <c r="E22" s="791"/>
      <c r="F22" s="314" t="s">
        <v>841</v>
      </c>
      <c r="G22" s="796"/>
      <c r="H22" s="358">
        <v>0</v>
      </c>
      <c r="I22" s="362" t="s">
        <v>891</v>
      </c>
      <c r="J22" s="63"/>
      <c r="K22" s="315" t="s">
        <v>834</v>
      </c>
      <c r="L22" s="317">
        <v>2</v>
      </c>
      <c r="M22" s="336">
        <v>0.25</v>
      </c>
      <c r="N22" s="308">
        <v>4</v>
      </c>
      <c r="O22" s="65">
        <v>0.25</v>
      </c>
      <c r="P22" s="308">
        <v>6</v>
      </c>
      <c r="Q22" s="65">
        <v>0.25</v>
      </c>
      <c r="R22" s="308">
        <v>8</v>
      </c>
      <c r="S22" s="65">
        <v>1</v>
      </c>
      <c r="T22" s="66">
        <v>60000</v>
      </c>
      <c r="U22" s="67">
        <v>60000</v>
      </c>
      <c r="V22" s="68">
        <v>30000</v>
      </c>
      <c r="W22" s="65">
        <v>0.5</v>
      </c>
      <c r="X22" s="68">
        <v>40000</v>
      </c>
      <c r="Y22" s="65">
        <v>0.66</v>
      </c>
      <c r="Z22" s="68">
        <v>50000</v>
      </c>
      <c r="AA22" s="326">
        <v>0.83</v>
      </c>
      <c r="AB22" s="68">
        <v>60000</v>
      </c>
      <c r="AC22" s="65">
        <v>1</v>
      </c>
      <c r="AD22" s="68">
        <v>60000</v>
      </c>
      <c r="AE22" s="65">
        <v>1</v>
      </c>
      <c r="AF22" s="68"/>
      <c r="AG22" s="65"/>
      <c r="AH22" s="63"/>
      <c r="AI22" s="63"/>
      <c r="AJ22" s="63"/>
      <c r="AK22" s="71"/>
      <c r="AL22" s="70"/>
      <c r="AM22" s="63"/>
      <c r="AN22" s="63"/>
      <c r="AO22" s="63"/>
      <c r="AP22" s="367" t="s">
        <v>808</v>
      </c>
      <c r="AQ22" s="367" t="s">
        <v>26</v>
      </c>
      <c r="AR22" s="62" t="s">
        <v>892</v>
      </c>
    </row>
    <row r="23" spans="1:44" ht="56.25" customHeight="1" x14ac:dyDescent="0.25">
      <c r="A23" s="832"/>
      <c r="B23" s="789"/>
      <c r="C23" s="828"/>
      <c r="D23" s="804" t="s">
        <v>843</v>
      </c>
      <c r="E23" s="804" t="s">
        <v>598</v>
      </c>
      <c r="F23" s="824" t="s">
        <v>844</v>
      </c>
      <c r="G23" s="796">
        <v>0</v>
      </c>
      <c r="H23" s="804">
        <v>0</v>
      </c>
      <c r="I23" s="362" t="s">
        <v>845</v>
      </c>
      <c r="J23" s="309"/>
      <c r="K23" s="335" t="s">
        <v>597</v>
      </c>
      <c r="L23" s="342">
        <v>0.25</v>
      </c>
      <c r="M23" s="343">
        <v>0.25</v>
      </c>
      <c r="N23" s="363">
        <v>0.5</v>
      </c>
      <c r="O23" s="344">
        <v>0.5</v>
      </c>
      <c r="P23" s="363">
        <v>0.75</v>
      </c>
      <c r="Q23" s="344">
        <v>0.75</v>
      </c>
      <c r="R23" s="363">
        <v>1</v>
      </c>
      <c r="S23" s="344">
        <v>1</v>
      </c>
      <c r="T23" s="405">
        <v>200000</v>
      </c>
      <c r="U23" s="405">
        <v>200000</v>
      </c>
      <c r="V23" s="405">
        <v>50000</v>
      </c>
      <c r="W23" s="344">
        <v>0.25</v>
      </c>
      <c r="X23" s="405">
        <v>100000</v>
      </c>
      <c r="Y23" s="344">
        <v>0.5</v>
      </c>
      <c r="Z23" s="405">
        <v>150000</v>
      </c>
      <c r="AA23" s="344">
        <v>0.75</v>
      </c>
      <c r="AB23" s="405">
        <v>200000</v>
      </c>
      <c r="AC23" s="344">
        <v>1</v>
      </c>
      <c r="AD23" s="405">
        <v>200000</v>
      </c>
      <c r="AE23" s="344">
        <v>1</v>
      </c>
      <c r="AF23" s="363"/>
      <c r="AG23" s="309"/>
      <c r="AH23" s="309"/>
      <c r="AI23" s="309"/>
      <c r="AJ23" s="309"/>
      <c r="AK23" s="309"/>
      <c r="AL23" s="309"/>
      <c r="AM23" s="309"/>
      <c r="AN23" s="309"/>
      <c r="AO23" s="330" t="s">
        <v>885</v>
      </c>
      <c r="AP23" s="367" t="s">
        <v>808</v>
      </c>
      <c r="AQ23" s="367" t="s">
        <v>26</v>
      </c>
      <c r="AR23" s="330" t="s">
        <v>893</v>
      </c>
    </row>
    <row r="24" spans="1:44" ht="64.5" customHeight="1" x14ac:dyDescent="0.25">
      <c r="A24" s="832"/>
      <c r="B24" s="789"/>
      <c r="C24" s="828"/>
      <c r="D24" s="804"/>
      <c r="E24" s="804"/>
      <c r="F24" s="824"/>
      <c r="G24" s="796"/>
      <c r="H24" s="804"/>
      <c r="I24" s="362" t="s">
        <v>850</v>
      </c>
      <c r="J24" s="309"/>
      <c r="K24" s="335" t="s">
        <v>878</v>
      </c>
      <c r="L24" s="342">
        <v>35</v>
      </c>
      <c r="M24" s="343">
        <v>0.5</v>
      </c>
      <c r="N24" s="363">
        <v>70</v>
      </c>
      <c r="O24" s="344">
        <v>1</v>
      </c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09"/>
      <c r="AH24" s="309"/>
      <c r="AI24" s="309"/>
      <c r="AJ24" s="309"/>
      <c r="AK24" s="309"/>
      <c r="AL24" s="309"/>
      <c r="AM24" s="309"/>
      <c r="AN24" s="309"/>
      <c r="AO24" s="330" t="s">
        <v>885</v>
      </c>
      <c r="AP24" s="367" t="s">
        <v>808</v>
      </c>
      <c r="AQ24" s="367" t="s">
        <v>26</v>
      </c>
      <c r="AR24" s="309"/>
    </row>
    <row r="25" spans="1:44" ht="73.5" customHeight="1" x14ac:dyDescent="0.25">
      <c r="A25" s="832"/>
      <c r="B25" s="789"/>
      <c r="C25" s="828"/>
      <c r="D25" s="804"/>
      <c r="E25" s="804"/>
      <c r="F25" s="810" t="s">
        <v>846</v>
      </c>
      <c r="G25" s="796">
        <v>10</v>
      </c>
      <c r="H25" s="804">
        <v>6</v>
      </c>
      <c r="I25" s="362" t="s">
        <v>876</v>
      </c>
      <c r="J25" s="309"/>
      <c r="K25" s="318" t="s">
        <v>847</v>
      </c>
      <c r="L25" s="342">
        <v>2</v>
      </c>
      <c r="M25" s="343">
        <v>0.04</v>
      </c>
      <c r="N25" s="363">
        <v>18</v>
      </c>
      <c r="O25" s="344">
        <v>0.36</v>
      </c>
      <c r="P25" s="363">
        <v>34</v>
      </c>
      <c r="Q25" s="344">
        <v>0.68</v>
      </c>
      <c r="R25" s="363">
        <v>50</v>
      </c>
      <c r="S25" s="344">
        <v>1</v>
      </c>
      <c r="T25" s="363"/>
      <c r="U25" s="363">
        <v>500000</v>
      </c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45">
        <v>50000</v>
      </c>
      <c r="AG25" s="309"/>
      <c r="AH25" s="330" t="s">
        <v>883</v>
      </c>
      <c r="AI25" s="309"/>
      <c r="AJ25" s="309"/>
      <c r="AK25" s="309"/>
      <c r="AL25" s="309"/>
      <c r="AM25" s="321">
        <v>450000</v>
      </c>
      <c r="AN25" s="309"/>
      <c r="AO25" s="330" t="s">
        <v>884</v>
      </c>
      <c r="AP25" s="367" t="s">
        <v>808</v>
      </c>
      <c r="AQ25" s="367" t="s">
        <v>26</v>
      </c>
      <c r="AR25" s="330" t="s">
        <v>893</v>
      </c>
    </row>
    <row r="26" spans="1:44" ht="59.25" customHeight="1" x14ac:dyDescent="0.25">
      <c r="A26" s="832"/>
      <c r="B26" s="789"/>
      <c r="C26" s="828"/>
      <c r="D26" s="804"/>
      <c r="E26" s="804"/>
      <c r="F26" s="810"/>
      <c r="G26" s="796"/>
      <c r="H26" s="804"/>
      <c r="I26" s="341" t="s">
        <v>877</v>
      </c>
      <c r="J26" s="310"/>
      <c r="K26" s="318" t="s">
        <v>852</v>
      </c>
      <c r="L26" s="361">
        <v>80</v>
      </c>
      <c r="M26" s="346">
        <v>0.28000000000000003</v>
      </c>
      <c r="N26" s="361">
        <v>150</v>
      </c>
      <c r="O26" s="346">
        <v>0.52</v>
      </c>
      <c r="P26" s="361">
        <v>220</v>
      </c>
      <c r="Q26" s="346">
        <v>0.76</v>
      </c>
      <c r="R26" s="361">
        <v>290</v>
      </c>
      <c r="S26" s="346">
        <v>1</v>
      </c>
      <c r="T26" s="361">
        <v>20000</v>
      </c>
      <c r="U26" s="311">
        <v>20000</v>
      </c>
      <c r="V26" s="345">
        <v>5000</v>
      </c>
      <c r="W26" s="346">
        <v>0.25</v>
      </c>
      <c r="X26" s="345">
        <v>10000</v>
      </c>
      <c r="Y26" s="346">
        <v>0.5</v>
      </c>
      <c r="Z26" s="345">
        <v>15000</v>
      </c>
      <c r="AA26" s="346">
        <v>0.75</v>
      </c>
      <c r="AB26" s="345">
        <v>20000</v>
      </c>
      <c r="AC26" s="346">
        <v>1</v>
      </c>
      <c r="AD26" s="345">
        <v>20000</v>
      </c>
      <c r="AE26" s="346">
        <v>1</v>
      </c>
      <c r="AF26" s="361"/>
      <c r="AG26" s="331"/>
      <c r="AH26" s="331"/>
      <c r="AI26" s="331"/>
      <c r="AJ26" s="331"/>
      <c r="AK26" s="331"/>
      <c r="AL26" s="309"/>
      <c r="AM26" s="309"/>
      <c r="AN26" s="309"/>
      <c r="AO26" s="309"/>
      <c r="AP26" s="367" t="s">
        <v>808</v>
      </c>
      <c r="AQ26" s="367" t="s">
        <v>26</v>
      </c>
      <c r="AR26" s="330" t="s">
        <v>894</v>
      </c>
    </row>
    <row r="27" spans="1:44" ht="67.5" customHeight="1" x14ac:dyDescent="0.25">
      <c r="A27" s="832"/>
      <c r="B27" s="789"/>
      <c r="C27" s="828"/>
      <c r="D27" s="804"/>
      <c r="E27" s="364" t="s">
        <v>596</v>
      </c>
      <c r="F27" s="360" t="s">
        <v>849</v>
      </c>
      <c r="G27" s="357">
        <v>0</v>
      </c>
      <c r="H27" s="360">
        <v>0</v>
      </c>
      <c r="I27" s="406" t="s">
        <v>599</v>
      </c>
      <c r="J27" s="63"/>
      <c r="K27" s="367" t="s">
        <v>853</v>
      </c>
      <c r="L27" s="308">
        <v>1</v>
      </c>
      <c r="M27" s="65">
        <v>1</v>
      </c>
      <c r="N27" s="308"/>
      <c r="O27" s="65"/>
      <c r="P27" s="308"/>
      <c r="Q27" s="65"/>
      <c r="R27" s="308"/>
      <c r="S27" s="65"/>
      <c r="T27" s="66">
        <v>21000</v>
      </c>
      <c r="U27" s="67">
        <v>21000</v>
      </c>
      <c r="V27" s="68"/>
      <c r="W27" s="65"/>
      <c r="X27" s="68"/>
      <c r="Y27" s="65"/>
      <c r="Z27" s="68"/>
      <c r="AA27" s="65"/>
      <c r="AB27" s="68"/>
      <c r="AC27" s="65"/>
      <c r="AD27" s="68"/>
      <c r="AE27" s="65"/>
      <c r="AF27" s="68"/>
      <c r="AG27" s="65"/>
      <c r="AH27" s="63"/>
      <c r="AI27" s="323"/>
      <c r="AJ27" s="322"/>
      <c r="AK27" s="69"/>
      <c r="AL27" s="70"/>
      <c r="AM27" s="63"/>
      <c r="AN27" s="63"/>
      <c r="AO27" s="63"/>
      <c r="AP27" s="367" t="s">
        <v>808</v>
      </c>
      <c r="AQ27" s="367" t="s">
        <v>26</v>
      </c>
      <c r="AR27" s="62"/>
    </row>
    <row r="28" spans="1:44" ht="81" customHeight="1" x14ac:dyDescent="0.25">
      <c r="A28" s="832"/>
      <c r="B28" s="789"/>
      <c r="C28" s="828"/>
      <c r="D28" s="804" t="s">
        <v>854</v>
      </c>
      <c r="E28" s="360" t="s">
        <v>600</v>
      </c>
      <c r="F28" s="316" t="s">
        <v>855</v>
      </c>
      <c r="G28" s="357">
        <v>0</v>
      </c>
      <c r="H28" s="360">
        <v>0</v>
      </c>
      <c r="I28" s="406" t="s">
        <v>871</v>
      </c>
      <c r="J28" s="63"/>
      <c r="K28" s="367" t="s">
        <v>856</v>
      </c>
      <c r="L28" s="308">
        <v>2</v>
      </c>
      <c r="M28" s="65">
        <v>0.25</v>
      </c>
      <c r="N28" s="308">
        <v>4</v>
      </c>
      <c r="O28" s="65">
        <v>0.5</v>
      </c>
      <c r="P28" s="308">
        <v>6</v>
      </c>
      <c r="Q28" s="65">
        <v>0.75</v>
      </c>
      <c r="R28" s="308">
        <v>8</v>
      </c>
      <c r="S28" s="65">
        <v>1</v>
      </c>
      <c r="T28" s="66">
        <v>10000</v>
      </c>
      <c r="U28" s="67">
        <v>10000</v>
      </c>
      <c r="V28" s="68">
        <v>2500</v>
      </c>
      <c r="W28" s="65">
        <v>0.25</v>
      </c>
      <c r="X28" s="68">
        <v>5000</v>
      </c>
      <c r="Y28" s="65">
        <v>0.5</v>
      </c>
      <c r="Z28" s="68">
        <v>7500</v>
      </c>
      <c r="AA28" s="65">
        <v>0.75</v>
      </c>
      <c r="AB28" s="68">
        <v>10000</v>
      </c>
      <c r="AC28" s="65">
        <v>1</v>
      </c>
      <c r="AD28" s="68">
        <v>10000</v>
      </c>
      <c r="AE28" s="65">
        <v>1</v>
      </c>
      <c r="AF28" s="68"/>
      <c r="AG28" s="65"/>
      <c r="AH28" s="63"/>
      <c r="AI28" s="63"/>
      <c r="AJ28" s="63"/>
      <c r="AK28" s="69"/>
      <c r="AL28" s="70"/>
      <c r="AM28" s="63"/>
      <c r="AN28" s="63"/>
      <c r="AO28" s="63"/>
      <c r="AP28" s="367" t="s">
        <v>808</v>
      </c>
      <c r="AQ28" s="367" t="s">
        <v>26</v>
      </c>
      <c r="AR28" s="62"/>
    </row>
    <row r="29" spans="1:44" ht="32.25" customHeight="1" x14ac:dyDescent="0.25">
      <c r="A29" s="832"/>
      <c r="B29" s="789"/>
      <c r="C29" s="828"/>
      <c r="D29" s="804"/>
      <c r="E29" s="804" t="s">
        <v>601</v>
      </c>
      <c r="F29" s="316" t="s">
        <v>857</v>
      </c>
      <c r="G29" s="796">
        <v>0</v>
      </c>
      <c r="H29" s="360">
        <v>0</v>
      </c>
      <c r="I29" s="362" t="s">
        <v>858</v>
      </c>
      <c r="J29" s="63"/>
      <c r="K29" s="306" t="s">
        <v>602</v>
      </c>
      <c r="L29" s="317">
        <v>0.25</v>
      </c>
      <c r="M29" s="65">
        <v>0.25</v>
      </c>
      <c r="N29" s="308" t="s">
        <v>963</v>
      </c>
      <c r="O29" s="65">
        <v>0.5</v>
      </c>
      <c r="P29" s="308">
        <v>0.75</v>
      </c>
      <c r="Q29" s="65">
        <v>0.75</v>
      </c>
      <c r="R29" s="308">
        <v>1</v>
      </c>
      <c r="S29" s="65">
        <v>1</v>
      </c>
      <c r="T29" s="66">
        <v>70000</v>
      </c>
      <c r="U29" s="67">
        <v>70000</v>
      </c>
      <c r="V29" s="68"/>
      <c r="W29" s="65"/>
      <c r="X29" s="68">
        <v>20000</v>
      </c>
      <c r="Y29" s="65">
        <v>0.28000000000000003</v>
      </c>
      <c r="Z29" s="68">
        <v>50000</v>
      </c>
      <c r="AA29" s="65">
        <v>0.71</v>
      </c>
      <c r="AB29" s="68">
        <v>70000</v>
      </c>
      <c r="AC29" s="65">
        <v>1</v>
      </c>
      <c r="AD29" s="68">
        <v>70000</v>
      </c>
      <c r="AE29" s="65">
        <v>1</v>
      </c>
      <c r="AF29" s="68"/>
      <c r="AG29" s="65"/>
      <c r="AH29" s="63"/>
      <c r="AI29" s="63"/>
      <c r="AJ29" s="63"/>
      <c r="AK29" s="69"/>
      <c r="AL29" s="70"/>
      <c r="AM29" s="63"/>
      <c r="AN29" s="63"/>
      <c r="AO29" s="63"/>
      <c r="AP29" s="367" t="s">
        <v>808</v>
      </c>
      <c r="AQ29" s="367" t="s">
        <v>26</v>
      </c>
      <c r="AR29" s="62"/>
    </row>
    <row r="30" spans="1:44" ht="36.75" x14ac:dyDescent="0.25">
      <c r="A30" s="832"/>
      <c r="B30" s="789"/>
      <c r="C30" s="828"/>
      <c r="D30" s="804"/>
      <c r="E30" s="804"/>
      <c r="F30" s="319" t="s">
        <v>862</v>
      </c>
      <c r="G30" s="825"/>
      <c r="H30" s="371">
        <v>0</v>
      </c>
      <c r="I30" s="347" t="s">
        <v>863</v>
      </c>
      <c r="J30" s="309"/>
      <c r="K30" s="306" t="s">
        <v>864</v>
      </c>
      <c r="L30" s="317"/>
      <c r="M30" s="363"/>
      <c r="N30" s="363">
        <v>1</v>
      </c>
      <c r="O30" s="344">
        <v>0.33</v>
      </c>
      <c r="P30" s="363">
        <v>2</v>
      </c>
      <c r="Q30" s="344">
        <v>0.66</v>
      </c>
      <c r="R30" s="363">
        <v>3</v>
      </c>
      <c r="S30" s="344">
        <v>1</v>
      </c>
      <c r="T30" s="405">
        <v>100000</v>
      </c>
      <c r="U30" s="405">
        <v>90000</v>
      </c>
      <c r="V30" s="363"/>
      <c r="W30" s="363"/>
      <c r="X30" s="405">
        <v>30000</v>
      </c>
      <c r="Y30" s="344">
        <v>0.33</v>
      </c>
      <c r="Z30" s="405">
        <v>60000</v>
      </c>
      <c r="AA30" s="344">
        <v>0.66</v>
      </c>
      <c r="AB30" s="405">
        <v>90000</v>
      </c>
      <c r="AC30" s="344">
        <v>1</v>
      </c>
      <c r="AD30" s="405">
        <v>90000</v>
      </c>
      <c r="AE30" s="344">
        <v>1</v>
      </c>
      <c r="AF30" s="363"/>
      <c r="AG30" s="309"/>
      <c r="AH30" s="309"/>
      <c r="AI30" s="309"/>
      <c r="AJ30" s="309"/>
      <c r="AK30" s="309"/>
      <c r="AL30" s="309"/>
      <c r="AM30" s="309"/>
      <c r="AN30" s="309"/>
      <c r="AO30" s="309"/>
      <c r="AP30" s="367" t="s">
        <v>808</v>
      </c>
      <c r="AQ30" s="367" t="s">
        <v>26</v>
      </c>
      <c r="AR30" s="309"/>
    </row>
    <row r="31" spans="1:44" ht="24" customHeight="1" x14ac:dyDescent="0.25">
      <c r="A31" s="832"/>
      <c r="B31" s="789"/>
      <c r="C31" s="828"/>
      <c r="D31" s="804" t="s">
        <v>603</v>
      </c>
      <c r="E31" s="821" t="s">
        <v>604</v>
      </c>
      <c r="F31" s="826" t="s">
        <v>859</v>
      </c>
      <c r="G31" s="796">
        <v>0</v>
      </c>
      <c r="H31" s="804">
        <v>0</v>
      </c>
      <c r="I31" s="817" t="s">
        <v>964</v>
      </c>
      <c r="J31" s="309"/>
      <c r="K31" s="811" t="s">
        <v>860</v>
      </c>
      <c r="L31" s="818"/>
      <c r="M31" s="805"/>
      <c r="N31" s="806">
        <v>1</v>
      </c>
      <c r="O31" s="807"/>
      <c r="P31" s="806"/>
      <c r="Q31" s="819"/>
      <c r="R31" s="819"/>
      <c r="S31" s="820">
        <v>1</v>
      </c>
      <c r="T31" s="819"/>
      <c r="U31" s="819"/>
      <c r="V31" s="819"/>
      <c r="W31" s="819"/>
      <c r="X31" s="819"/>
      <c r="Y31" s="819"/>
      <c r="Z31" s="819"/>
      <c r="AA31" s="819"/>
      <c r="AB31" s="819"/>
      <c r="AC31" s="818"/>
      <c r="AD31" s="818"/>
      <c r="AE31" s="818"/>
      <c r="AF31" s="818"/>
      <c r="AG31" s="834"/>
      <c r="AH31" s="834"/>
      <c r="AI31" s="834"/>
      <c r="AJ31" s="834"/>
      <c r="AK31" s="834"/>
      <c r="AL31" s="834"/>
      <c r="AM31" s="834"/>
      <c r="AN31" s="834"/>
      <c r="AO31" s="834"/>
      <c r="AP31" s="835" t="s">
        <v>808</v>
      </c>
      <c r="AQ31" s="367" t="s">
        <v>26</v>
      </c>
      <c r="AR31" s="309" t="s">
        <v>965</v>
      </c>
    </row>
    <row r="32" spans="1:44" ht="24" x14ac:dyDescent="0.25">
      <c r="A32" s="832"/>
      <c r="B32" s="789"/>
      <c r="C32" s="828"/>
      <c r="D32" s="804"/>
      <c r="E32" s="822"/>
      <c r="F32" s="826"/>
      <c r="G32" s="796"/>
      <c r="H32" s="804"/>
      <c r="I32" s="817"/>
      <c r="J32" s="309"/>
      <c r="K32" s="811"/>
      <c r="L32" s="818"/>
      <c r="M32" s="805"/>
      <c r="N32" s="806"/>
      <c r="O32" s="806"/>
      <c r="P32" s="806"/>
      <c r="Q32" s="819"/>
      <c r="R32" s="819"/>
      <c r="S32" s="819"/>
      <c r="T32" s="819"/>
      <c r="U32" s="819"/>
      <c r="V32" s="819"/>
      <c r="W32" s="819"/>
      <c r="X32" s="819"/>
      <c r="Y32" s="819"/>
      <c r="Z32" s="819"/>
      <c r="AA32" s="819"/>
      <c r="AB32" s="819"/>
      <c r="AC32" s="818"/>
      <c r="AD32" s="818"/>
      <c r="AE32" s="818"/>
      <c r="AF32" s="818"/>
      <c r="AG32" s="834"/>
      <c r="AH32" s="834"/>
      <c r="AI32" s="834"/>
      <c r="AJ32" s="834"/>
      <c r="AK32" s="834"/>
      <c r="AL32" s="834"/>
      <c r="AM32" s="834"/>
      <c r="AN32" s="834"/>
      <c r="AO32" s="834"/>
      <c r="AP32" s="835"/>
      <c r="AQ32" s="367" t="s">
        <v>26</v>
      </c>
      <c r="AR32" s="309"/>
    </row>
    <row r="33" spans="1:44" ht="42.75" customHeight="1" x14ac:dyDescent="0.25">
      <c r="A33" s="833"/>
      <c r="B33" s="830"/>
      <c r="C33" s="829"/>
      <c r="D33" s="804"/>
      <c r="E33" s="822"/>
      <c r="F33" s="824" t="s">
        <v>861</v>
      </c>
      <c r="G33" s="357">
        <v>0</v>
      </c>
      <c r="H33" s="824">
        <v>0</v>
      </c>
      <c r="I33" s="836" t="s">
        <v>870</v>
      </c>
      <c r="J33" s="310"/>
      <c r="K33" s="310" t="s">
        <v>886</v>
      </c>
      <c r="L33" s="363"/>
      <c r="M33" s="363"/>
      <c r="N33" s="363"/>
      <c r="O33" s="363"/>
      <c r="P33" s="363"/>
      <c r="Q33" s="363"/>
      <c r="R33" s="363"/>
      <c r="S33" s="363"/>
      <c r="T33" s="345">
        <v>60000</v>
      </c>
      <c r="U33" s="311">
        <v>60000</v>
      </c>
      <c r="V33" s="361"/>
      <c r="W33" s="361"/>
      <c r="X33" s="361"/>
      <c r="Y33" s="361"/>
      <c r="Z33" s="345">
        <v>30000</v>
      </c>
      <c r="AA33" s="346">
        <v>0.5</v>
      </c>
      <c r="AB33" s="345">
        <v>60000</v>
      </c>
      <c r="AC33" s="346">
        <v>1</v>
      </c>
      <c r="AD33" s="345">
        <v>60000</v>
      </c>
      <c r="AE33" s="346">
        <v>1</v>
      </c>
      <c r="AF33" s="363"/>
      <c r="AG33" s="309"/>
      <c r="AH33" s="309"/>
      <c r="AI33" s="309"/>
      <c r="AJ33" s="309"/>
      <c r="AK33" s="309"/>
      <c r="AL33" s="309"/>
      <c r="AM33" s="309"/>
      <c r="AN33" s="309"/>
      <c r="AO33" s="309"/>
      <c r="AP33" s="367" t="s">
        <v>808</v>
      </c>
      <c r="AQ33" s="367" t="s">
        <v>26</v>
      </c>
      <c r="AR33" s="330" t="s">
        <v>946</v>
      </c>
    </row>
    <row r="34" spans="1:44" hidden="1" x14ac:dyDescent="0.25">
      <c r="A34" s="61"/>
      <c r="B34" s="61"/>
      <c r="C34" s="249"/>
      <c r="D34" s="804"/>
      <c r="E34" s="823"/>
      <c r="F34" s="824"/>
      <c r="G34" s="61"/>
      <c r="H34" s="824"/>
      <c r="I34" s="836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</row>
    <row r="35" spans="1:44" x14ac:dyDescent="0.25">
      <c r="D35" s="245"/>
      <c r="E35" s="245"/>
      <c r="F35" s="245"/>
      <c r="G35" s="245"/>
      <c r="H35" s="245"/>
      <c r="I35" s="245"/>
    </row>
    <row r="36" spans="1:44" x14ac:dyDescent="0.25">
      <c r="D36" s="407"/>
    </row>
  </sheetData>
  <mergeCells count="103">
    <mergeCell ref="C4:C33"/>
    <mergeCell ref="B4:B33"/>
    <mergeCell ref="A4:A33"/>
    <mergeCell ref="AO31:AO32"/>
    <mergeCell ref="AP31:AP32"/>
    <mergeCell ref="F33:F34"/>
    <mergeCell ref="H33:H34"/>
    <mergeCell ref="I33:I34"/>
    <mergeCell ref="AJ31:AJ32"/>
    <mergeCell ref="AK31:AK32"/>
    <mergeCell ref="AL31:AL32"/>
    <mergeCell ref="AM31:AM32"/>
    <mergeCell ref="AN31:AN32"/>
    <mergeCell ref="AE31:AE32"/>
    <mergeCell ref="AF31:AF32"/>
    <mergeCell ref="AG31:AG32"/>
    <mergeCell ref="AH31:AH32"/>
    <mergeCell ref="AI31:AI32"/>
    <mergeCell ref="Z31:Z32"/>
    <mergeCell ref="AA31:AA32"/>
    <mergeCell ref="AB31:AB32"/>
    <mergeCell ref="AC31:AC32"/>
    <mergeCell ref="AD31:AD32"/>
    <mergeCell ref="U31:U32"/>
    <mergeCell ref="V31:V32"/>
    <mergeCell ref="W31:W32"/>
    <mergeCell ref="X31:X32"/>
    <mergeCell ref="Y31:Y32"/>
    <mergeCell ref="Q31:Q32"/>
    <mergeCell ref="R31:R32"/>
    <mergeCell ref="S31:S32"/>
    <mergeCell ref="T31:T32"/>
    <mergeCell ref="E13:E16"/>
    <mergeCell ref="E31:E34"/>
    <mergeCell ref="E29:E30"/>
    <mergeCell ref="F23:F24"/>
    <mergeCell ref="G29:G30"/>
    <mergeCell ref="F31:F32"/>
    <mergeCell ref="G31:G32"/>
    <mergeCell ref="I31:I32"/>
    <mergeCell ref="D31:D34"/>
    <mergeCell ref="M31:M32"/>
    <mergeCell ref="N31:N32"/>
    <mergeCell ref="O31:O32"/>
    <mergeCell ref="P31:P32"/>
    <mergeCell ref="H31:H32"/>
    <mergeCell ref="D4:D11"/>
    <mergeCell ref="D23:D27"/>
    <mergeCell ref="F25:F26"/>
    <mergeCell ref="K31:K32"/>
    <mergeCell ref="E10:E11"/>
    <mergeCell ref="E4:E9"/>
    <mergeCell ref="G4:G5"/>
    <mergeCell ref="G7:G9"/>
    <mergeCell ref="G10:G11"/>
    <mergeCell ref="H15:H16"/>
    <mergeCell ref="I15:I16"/>
    <mergeCell ref="D28:D30"/>
    <mergeCell ref="L31:L32"/>
    <mergeCell ref="E23:E26"/>
    <mergeCell ref="G23:G24"/>
    <mergeCell ref="H23:H24"/>
    <mergeCell ref="G25:G26"/>
    <mergeCell ref="H25:H26"/>
    <mergeCell ref="AD1:AO1"/>
    <mergeCell ref="M1:S1"/>
    <mergeCell ref="T1:T3"/>
    <mergeCell ref="D18:D22"/>
    <mergeCell ref="E18:E22"/>
    <mergeCell ref="K15:K16"/>
    <mergeCell ref="D12:D17"/>
    <mergeCell ref="G20:G22"/>
    <mergeCell ref="I18:I19"/>
    <mergeCell ref="G18:G19"/>
    <mergeCell ref="H18:H19"/>
    <mergeCell ref="F1:F3"/>
    <mergeCell ref="I1:I3"/>
    <mergeCell ref="J1:J3"/>
    <mergeCell ref="K1:K3"/>
    <mergeCell ref="A1:A3"/>
    <mergeCell ref="B1:B3"/>
    <mergeCell ref="C1:C3"/>
    <mergeCell ref="D1:D3"/>
    <mergeCell ref="E1:E3"/>
    <mergeCell ref="G1:G3"/>
    <mergeCell ref="H1:H3"/>
    <mergeCell ref="F7:F8"/>
    <mergeCell ref="AP1:AR2"/>
    <mergeCell ref="L2:M2"/>
    <mergeCell ref="N2:O2"/>
    <mergeCell ref="P2:Q2"/>
    <mergeCell ref="R2:S2"/>
    <mergeCell ref="V2:W2"/>
    <mergeCell ref="X2:Y2"/>
    <mergeCell ref="AM2:AO2"/>
    <mergeCell ref="Z2:AA2"/>
    <mergeCell ref="AB2:AC2"/>
    <mergeCell ref="AD2:AE2"/>
    <mergeCell ref="AF2:AH2"/>
    <mergeCell ref="AI2:AJ2"/>
    <mergeCell ref="AK2:AL2"/>
    <mergeCell ref="U1:U3"/>
    <mergeCell ref="V1:AC1"/>
  </mergeCells>
  <pageMargins left="0.70866141732283472" right="0.31496062992125984" top="0.74803149606299213" bottom="0.74803149606299213" header="0.31496062992125984" footer="0.31496062992125984"/>
  <pageSetup paperSize="5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20"/>
  <sheetViews>
    <sheetView tabSelected="1" topLeftCell="BG2" workbookViewId="0">
      <selection activeCell="CH15" sqref="CH15"/>
    </sheetView>
  </sheetViews>
  <sheetFormatPr baseColWidth="10" defaultRowHeight="15" x14ac:dyDescent="0.25"/>
  <cols>
    <col min="1" max="1" width="15.85546875" customWidth="1"/>
    <col min="2" max="2" width="13.28515625" customWidth="1"/>
    <col min="3" max="3" width="16.7109375" customWidth="1"/>
    <col min="4" max="4" width="23.140625" customWidth="1"/>
    <col min="5" max="5" width="17.28515625" customWidth="1"/>
    <col min="6" max="7" width="17.28515625" style="53" customWidth="1"/>
    <col min="8" max="8" width="22.28515625" customWidth="1"/>
    <col min="9" max="9" width="13.140625" customWidth="1"/>
    <col min="10" max="10" width="28.7109375" customWidth="1"/>
    <col min="11" max="11" width="25.5703125" customWidth="1"/>
    <col min="12" max="12" width="5.42578125" customWidth="1"/>
    <col min="13" max="13" width="7" bestFit="1" customWidth="1"/>
    <col min="14" max="14" width="7.85546875" style="53" customWidth="1"/>
    <col min="15" max="15" width="7" style="53" customWidth="1"/>
    <col min="16" max="16" width="8.140625" style="53" customWidth="1"/>
    <col min="17" max="17" width="7.28515625" style="53" customWidth="1"/>
    <col min="18" max="19" width="9.7109375" style="53" customWidth="1"/>
    <col min="20" max="20" width="8.28515625" customWidth="1"/>
    <col min="21" max="21" width="6" customWidth="1"/>
    <col min="22" max="22" width="7.85546875" style="53" customWidth="1"/>
    <col min="23" max="23" width="6" style="53" customWidth="1"/>
    <col min="24" max="24" width="7.42578125" style="53" customWidth="1"/>
    <col min="25" max="25" width="6" style="53" customWidth="1"/>
    <col min="26" max="26" width="6.7109375" customWidth="1"/>
    <col min="27" max="27" width="4.5703125" customWidth="1"/>
    <col min="28" max="28" width="7.5703125" style="53" customWidth="1"/>
    <col min="29" max="29" width="4.5703125" style="53" customWidth="1"/>
    <col min="30" max="30" width="8.42578125" style="53" customWidth="1"/>
    <col min="31" max="31" width="4.5703125" style="53" customWidth="1"/>
    <col min="32" max="32" width="6" customWidth="1"/>
    <col min="33" max="33" width="9" customWidth="1"/>
    <col min="34" max="37" width="7.5703125" style="53" customWidth="1"/>
    <col min="38" max="39" width="15" customWidth="1"/>
    <col min="40" max="40" width="15" style="53" customWidth="1"/>
    <col min="42" max="42" width="11.42578125" customWidth="1"/>
    <col min="43" max="43" width="11.42578125" style="53" customWidth="1"/>
    <col min="46" max="46" width="14" style="53" customWidth="1"/>
    <col min="49" max="49" width="11.42578125" style="53"/>
    <col min="50" max="50" width="12.7109375" bestFit="1" customWidth="1"/>
    <col min="52" max="52" width="11.42578125" style="53"/>
    <col min="60" max="60" width="14.7109375" bestFit="1" customWidth="1"/>
    <col min="65" max="65" width="14.28515625" style="477" customWidth="1"/>
    <col min="66" max="66" width="13.85546875" style="477" customWidth="1"/>
    <col min="67" max="67" width="6" style="53" bestFit="1" customWidth="1"/>
    <col min="68" max="68" width="4.5703125" style="53" bestFit="1" customWidth="1"/>
    <col min="69" max="69" width="5" style="53" customWidth="1"/>
    <col min="70" max="70" width="3.85546875" style="53" customWidth="1"/>
    <col min="71" max="71" width="2" style="53" bestFit="1" customWidth="1"/>
    <col min="72" max="72" width="3.140625" style="53" customWidth="1"/>
    <col min="73" max="73" width="5" style="53" bestFit="1" customWidth="1"/>
    <col min="74" max="74" width="2.28515625" style="53" bestFit="1" customWidth="1"/>
    <col min="75" max="77" width="11.42578125" style="53"/>
    <col min="80" max="80" width="22.42578125" customWidth="1"/>
  </cols>
  <sheetData>
    <row r="1" spans="1:80" s="53" customFormat="1" ht="15.75" thickBot="1" x14ac:dyDescent="0.3">
      <c r="BM1" s="477"/>
      <c r="BN1" s="477"/>
    </row>
    <row r="2" spans="1:80" ht="15" customHeight="1" x14ac:dyDescent="0.25">
      <c r="A2" s="679" t="s">
        <v>0</v>
      </c>
      <c r="B2" s="800" t="s">
        <v>1</v>
      </c>
      <c r="C2" s="800" t="s">
        <v>2</v>
      </c>
      <c r="D2" s="800" t="s">
        <v>3</v>
      </c>
      <c r="E2" s="800" t="s">
        <v>4</v>
      </c>
      <c r="F2" s="800" t="s">
        <v>5</v>
      </c>
      <c r="G2" s="800" t="s">
        <v>1220</v>
      </c>
      <c r="H2" s="800" t="s">
        <v>1115</v>
      </c>
      <c r="I2" s="800" t="s">
        <v>7</v>
      </c>
      <c r="J2" s="800" t="s">
        <v>8</v>
      </c>
      <c r="K2" s="925" t="s">
        <v>9</v>
      </c>
      <c r="L2" s="654" t="s">
        <v>10</v>
      </c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79"/>
      <c r="AL2" s="668" t="s">
        <v>11</v>
      </c>
      <c r="AM2" s="666" t="s">
        <v>1221</v>
      </c>
      <c r="AN2" s="802" t="s">
        <v>1222</v>
      </c>
      <c r="AO2" s="660" t="s">
        <v>13</v>
      </c>
      <c r="AP2" s="661"/>
      <c r="AQ2" s="661"/>
      <c r="AR2" s="661"/>
      <c r="AS2" s="661"/>
      <c r="AT2" s="661"/>
      <c r="AU2" s="661"/>
      <c r="AV2" s="661"/>
      <c r="AW2" s="661"/>
      <c r="AX2" s="661"/>
      <c r="AY2" s="662"/>
      <c r="AZ2" s="611"/>
      <c r="BA2" s="654" t="s">
        <v>14</v>
      </c>
      <c r="BB2" s="655"/>
      <c r="BC2" s="655"/>
      <c r="BD2" s="655"/>
      <c r="BE2" s="655"/>
      <c r="BF2" s="655"/>
      <c r="BG2" s="655"/>
      <c r="BH2" s="655"/>
      <c r="BI2" s="655"/>
      <c r="BJ2" s="655"/>
      <c r="BK2" s="655"/>
      <c r="BL2" s="656"/>
      <c r="BM2" s="883" t="s">
        <v>1185</v>
      </c>
      <c r="BN2" s="884"/>
      <c r="BO2" s="611"/>
      <c r="BP2" s="611"/>
      <c r="BQ2" s="611"/>
      <c r="BR2" s="611"/>
      <c r="BS2" s="611"/>
      <c r="BT2" s="611"/>
      <c r="BU2" s="611"/>
      <c r="BV2" s="611"/>
      <c r="BW2" s="554"/>
      <c r="BX2" s="554"/>
      <c r="BY2" s="554"/>
      <c r="BZ2" s="784" t="s">
        <v>15</v>
      </c>
      <c r="CA2" s="891"/>
      <c r="CB2" s="892"/>
    </row>
    <row r="3" spans="1:80" ht="15" customHeight="1" x14ac:dyDescent="0.25">
      <c r="A3" s="896"/>
      <c r="B3" s="801"/>
      <c r="C3" s="801"/>
      <c r="D3" s="801"/>
      <c r="E3" s="801"/>
      <c r="F3" s="801"/>
      <c r="G3" s="801"/>
      <c r="H3" s="801"/>
      <c r="I3" s="801"/>
      <c r="J3" s="801"/>
      <c r="K3" s="911"/>
      <c r="L3" s="907">
        <v>2012</v>
      </c>
      <c r="M3" s="651"/>
      <c r="N3" s="651"/>
      <c r="O3" s="651"/>
      <c r="P3" s="651"/>
      <c r="Q3" s="651"/>
      <c r="R3" s="651"/>
      <c r="S3" s="652"/>
      <c r="T3" s="650">
        <v>2013</v>
      </c>
      <c r="U3" s="651"/>
      <c r="V3" s="651"/>
      <c r="W3" s="651"/>
      <c r="X3" s="651"/>
      <c r="Y3" s="652"/>
      <c r="Z3" s="650">
        <v>2014</v>
      </c>
      <c r="AA3" s="651"/>
      <c r="AB3" s="651"/>
      <c r="AC3" s="651"/>
      <c r="AD3" s="651"/>
      <c r="AE3" s="652"/>
      <c r="AF3" s="650">
        <v>2015</v>
      </c>
      <c r="AG3" s="651"/>
      <c r="AH3" s="651"/>
      <c r="AI3" s="651"/>
      <c r="AJ3" s="651"/>
      <c r="AK3" s="652"/>
      <c r="AL3" s="669"/>
      <c r="AM3" s="667"/>
      <c r="AN3" s="803"/>
      <c r="AO3" s="907">
        <v>2012</v>
      </c>
      <c r="AP3" s="651"/>
      <c r="AQ3" s="651"/>
      <c r="AR3" s="650">
        <v>2013</v>
      </c>
      <c r="AS3" s="651"/>
      <c r="AT3" s="652"/>
      <c r="AU3" s="649">
        <v>2014</v>
      </c>
      <c r="AV3" s="649"/>
      <c r="AW3" s="612"/>
      <c r="AX3" s="649">
        <v>2015</v>
      </c>
      <c r="AY3" s="653"/>
      <c r="AZ3" s="613"/>
      <c r="BA3" s="648" t="s">
        <v>16</v>
      </c>
      <c r="BB3" s="649"/>
      <c r="BC3" s="650" t="s">
        <v>17</v>
      </c>
      <c r="BD3" s="651"/>
      <c r="BE3" s="652"/>
      <c r="BF3" s="649" t="s">
        <v>18</v>
      </c>
      <c r="BG3" s="649"/>
      <c r="BH3" s="670" t="s">
        <v>19</v>
      </c>
      <c r="BI3" s="671"/>
      <c r="BJ3" s="649" t="s">
        <v>20</v>
      </c>
      <c r="BK3" s="649"/>
      <c r="BL3" s="653"/>
      <c r="BM3" s="885">
        <v>98070622</v>
      </c>
      <c r="BN3" s="886"/>
      <c r="BO3" s="614"/>
      <c r="BP3" s="614"/>
      <c r="BQ3" s="614"/>
      <c r="BR3" s="614"/>
      <c r="BS3" s="614"/>
      <c r="BT3" s="614"/>
      <c r="BU3" s="614"/>
      <c r="BV3" s="614"/>
      <c r="BW3" s="557"/>
      <c r="BX3" s="557"/>
      <c r="BY3" s="557"/>
      <c r="BZ3" s="911"/>
      <c r="CA3" s="912"/>
      <c r="CB3" s="896"/>
    </row>
    <row r="4" spans="1:80" s="53" customFormat="1" ht="39" customHeight="1" x14ac:dyDescent="0.25">
      <c r="A4" s="896"/>
      <c r="B4" s="801"/>
      <c r="C4" s="801"/>
      <c r="D4" s="801"/>
      <c r="E4" s="801"/>
      <c r="F4" s="801"/>
      <c r="G4" s="801"/>
      <c r="H4" s="801"/>
      <c r="I4" s="801"/>
      <c r="J4" s="801"/>
      <c r="K4" s="911"/>
      <c r="L4" s="678" t="s">
        <v>21</v>
      </c>
      <c r="M4" s="678" t="s">
        <v>22</v>
      </c>
      <c r="N4" s="651"/>
      <c r="O4" s="651"/>
      <c r="P4" s="651"/>
      <c r="Q4" s="651"/>
      <c r="R4" s="650" t="s">
        <v>1178</v>
      </c>
      <c r="S4" s="652"/>
      <c r="T4" s="678" t="s">
        <v>1188</v>
      </c>
      <c r="U4" s="678" t="s">
        <v>22</v>
      </c>
      <c r="V4" s="891"/>
      <c r="W4" s="891"/>
      <c r="X4" s="891"/>
      <c r="Y4" s="892"/>
      <c r="Z4" s="558"/>
      <c r="AA4" s="558"/>
      <c r="AB4" s="651"/>
      <c r="AC4" s="651"/>
      <c r="AD4" s="651"/>
      <c r="AE4" s="652"/>
      <c r="AF4" s="562"/>
      <c r="AG4" s="562"/>
      <c r="AH4" s="651"/>
      <c r="AI4" s="651"/>
      <c r="AJ4" s="651"/>
      <c r="AK4" s="652"/>
      <c r="AL4" s="669"/>
      <c r="AM4" s="667"/>
      <c r="AN4" s="803"/>
      <c r="AO4" s="560"/>
      <c r="AP4" s="558"/>
      <c r="AQ4" s="558"/>
      <c r="AR4" s="558"/>
      <c r="AS4" s="558"/>
      <c r="AT4" s="558"/>
      <c r="AU4" s="558"/>
      <c r="AV4" s="558"/>
      <c r="AW4" s="615"/>
      <c r="AX4" s="558"/>
      <c r="AY4" s="559"/>
      <c r="AZ4" s="617"/>
      <c r="BA4" s="560"/>
      <c r="BB4" s="558"/>
      <c r="BC4" s="563"/>
      <c r="BD4" s="544"/>
      <c r="BE4" s="569"/>
      <c r="BF4" s="558"/>
      <c r="BG4" s="558"/>
      <c r="BH4" s="570"/>
      <c r="BI4" s="571"/>
      <c r="BJ4" s="562"/>
      <c r="BK4" s="558"/>
      <c r="BL4" s="79"/>
      <c r="BM4" s="593" t="s">
        <v>1183</v>
      </c>
      <c r="BN4" s="595">
        <v>0.7</v>
      </c>
      <c r="BO4" s="927" t="s">
        <v>1176</v>
      </c>
      <c r="BP4" s="927"/>
      <c r="BQ4" s="927"/>
      <c r="BR4" s="927"/>
      <c r="BS4" s="927"/>
      <c r="BT4" s="927"/>
      <c r="BU4" s="927"/>
      <c r="BV4" s="927"/>
      <c r="BW4" s="784" t="s">
        <v>1177</v>
      </c>
      <c r="BX4" s="891"/>
      <c r="BY4" s="891"/>
      <c r="BZ4" s="913"/>
      <c r="CA4" s="658"/>
      <c r="CB4" s="897"/>
    </row>
    <row r="5" spans="1:80" ht="63.75" x14ac:dyDescent="0.25">
      <c r="A5" s="896"/>
      <c r="B5" s="801"/>
      <c r="C5" s="801"/>
      <c r="D5" s="801"/>
      <c r="E5" s="801"/>
      <c r="F5" s="801"/>
      <c r="G5" s="801"/>
      <c r="H5" s="801"/>
      <c r="I5" s="801"/>
      <c r="J5" s="801"/>
      <c r="K5" s="911"/>
      <c r="L5" s="890"/>
      <c r="M5" s="890"/>
      <c r="N5" s="650" t="s">
        <v>1186</v>
      </c>
      <c r="O5" s="652"/>
      <c r="P5" s="650" t="s">
        <v>1187</v>
      </c>
      <c r="Q5" s="652"/>
      <c r="R5" s="564" t="s">
        <v>1179</v>
      </c>
      <c r="S5" s="564" t="s">
        <v>1180</v>
      </c>
      <c r="T5" s="890"/>
      <c r="U5" s="890"/>
      <c r="V5" s="650" t="s">
        <v>1186</v>
      </c>
      <c r="W5" s="652"/>
      <c r="X5" s="650" t="s">
        <v>1187</v>
      </c>
      <c r="Y5" s="652"/>
      <c r="Z5" s="54" t="s">
        <v>21</v>
      </c>
      <c r="AA5" s="54" t="s">
        <v>22</v>
      </c>
      <c r="AB5" s="650" t="s">
        <v>1186</v>
      </c>
      <c r="AC5" s="652"/>
      <c r="AD5" s="650" t="s">
        <v>1187</v>
      </c>
      <c r="AE5" s="652"/>
      <c r="AF5" s="54" t="s">
        <v>21</v>
      </c>
      <c r="AG5" s="54" t="s">
        <v>22</v>
      </c>
      <c r="AH5" s="650" t="s">
        <v>1186</v>
      </c>
      <c r="AI5" s="652"/>
      <c r="AJ5" s="650" t="s">
        <v>1187</v>
      </c>
      <c r="AK5" s="652"/>
      <c r="AL5" s="669"/>
      <c r="AM5" s="667"/>
      <c r="AN5" s="803"/>
      <c r="AO5" s="56" t="s">
        <v>23</v>
      </c>
      <c r="AP5" s="54" t="s">
        <v>22</v>
      </c>
      <c r="AQ5" s="558" t="s">
        <v>1190</v>
      </c>
      <c r="AR5" s="54" t="s">
        <v>23</v>
      </c>
      <c r="AS5" s="54" t="s">
        <v>22</v>
      </c>
      <c r="AT5" s="558" t="s">
        <v>1190</v>
      </c>
      <c r="AU5" s="54" t="s">
        <v>23</v>
      </c>
      <c r="AV5" s="54" t="s">
        <v>22</v>
      </c>
      <c r="AW5" s="615" t="s">
        <v>1223</v>
      </c>
      <c r="AX5" s="54" t="s">
        <v>23</v>
      </c>
      <c r="AY5" s="57" t="s">
        <v>22</v>
      </c>
      <c r="AZ5" s="615" t="s">
        <v>1223</v>
      </c>
      <c r="BA5" s="56" t="s">
        <v>23</v>
      </c>
      <c r="BB5" s="54" t="s">
        <v>22</v>
      </c>
      <c r="BC5" s="54" t="s">
        <v>23</v>
      </c>
      <c r="BD5" s="54" t="s">
        <v>22</v>
      </c>
      <c r="BE5" s="54" t="s">
        <v>24</v>
      </c>
      <c r="BF5" s="54" t="s">
        <v>23</v>
      </c>
      <c r="BG5" s="54" t="s">
        <v>22</v>
      </c>
      <c r="BH5" s="59" t="s">
        <v>23</v>
      </c>
      <c r="BI5" s="59" t="s">
        <v>22</v>
      </c>
      <c r="BJ5" s="55" t="s">
        <v>23</v>
      </c>
      <c r="BK5" s="54" t="s">
        <v>22</v>
      </c>
      <c r="BL5" s="79" t="s">
        <v>25</v>
      </c>
      <c r="BM5" s="594" t="s">
        <v>1184</v>
      </c>
      <c r="BN5" s="516">
        <v>692000</v>
      </c>
      <c r="BO5" s="928">
        <v>2012</v>
      </c>
      <c r="BP5" s="929"/>
      <c r="BQ5" s="928">
        <v>2013</v>
      </c>
      <c r="BR5" s="929"/>
      <c r="BS5" s="928">
        <v>2014</v>
      </c>
      <c r="BT5" s="929"/>
      <c r="BU5" s="928">
        <v>2015</v>
      </c>
      <c r="BV5" s="929"/>
      <c r="BW5" s="911"/>
      <c r="BX5" s="912"/>
      <c r="BY5" s="912"/>
      <c r="BZ5" s="60" t="s">
        <v>109</v>
      </c>
      <c r="CA5" s="60" t="s">
        <v>113</v>
      </c>
      <c r="CB5" s="60" t="s">
        <v>111</v>
      </c>
    </row>
    <row r="6" spans="1:80" s="53" customFormat="1" ht="24.75" thickBot="1" x14ac:dyDescent="0.3">
      <c r="A6" s="897"/>
      <c r="B6" s="890"/>
      <c r="C6" s="890"/>
      <c r="D6" s="890"/>
      <c r="E6" s="890"/>
      <c r="F6" s="890"/>
      <c r="G6" s="890"/>
      <c r="H6" s="890"/>
      <c r="I6" s="924"/>
      <c r="J6" s="924"/>
      <c r="K6" s="926"/>
      <c r="L6" s="564"/>
      <c r="M6" s="564"/>
      <c r="N6" s="564" t="s">
        <v>1179</v>
      </c>
      <c r="O6" s="564" t="s">
        <v>1180</v>
      </c>
      <c r="P6" s="564" t="s">
        <v>1179</v>
      </c>
      <c r="Q6" s="564" t="s">
        <v>1180</v>
      </c>
      <c r="R6" s="564"/>
      <c r="S6" s="564"/>
      <c r="T6" s="564"/>
      <c r="U6" s="564"/>
      <c r="V6" s="564" t="s">
        <v>1179</v>
      </c>
      <c r="W6" s="564" t="s">
        <v>1180</v>
      </c>
      <c r="X6" s="564" t="s">
        <v>1179</v>
      </c>
      <c r="Y6" s="564" t="s">
        <v>1180</v>
      </c>
      <c r="Z6" s="558"/>
      <c r="AA6" s="558"/>
      <c r="AB6" s="564" t="s">
        <v>1179</v>
      </c>
      <c r="AC6" s="564" t="s">
        <v>1180</v>
      </c>
      <c r="AD6" s="564" t="s">
        <v>1179</v>
      </c>
      <c r="AE6" s="564" t="s">
        <v>1180</v>
      </c>
      <c r="AF6" s="558"/>
      <c r="AG6" s="558"/>
      <c r="AH6" s="564" t="s">
        <v>1179</v>
      </c>
      <c r="AI6" s="564" t="s">
        <v>1180</v>
      </c>
      <c r="AJ6" s="564" t="s">
        <v>1179</v>
      </c>
      <c r="AK6" s="564" t="s">
        <v>1180</v>
      </c>
      <c r="AL6" s="634"/>
      <c r="AM6" s="612"/>
      <c r="AN6" s="612"/>
      <c r="AO6" s="612"/>
      <c r="AP6" s="558"/>
      <c r="AQ6" s="558"/>
      <c r="AR6" s="558"/>
      <c r="AS6" s="558"/>
      <c r="AT6" s="558"/>
      <c r="AU6" s="558"/>
      <c r="AV6" s="558"/>
      <c r="AW6" s="615"/>
      <c r="AX6" s="558"/>
      <c r="AY6" s="563"/>
      <c r="AZ6" s="617"/>
      <c r="BA6" s="569"/>
      <c r="BB6" s="558"/>
      <c r="BC6" s="558"/>
      <c r="BD6" s="558"/>
      <c r="BE6" s="558"/>
      <c r="BF6" s="558"/>
      <c r="BG6" s="558"/>
      <c r="BH6" s="59"/>
      <c r="BI6" s="59"/>
      <c r="BJ6" s="562"/>
      <c r="BK6" s="558"/>
      <c r="BL6" s="79"/>
      <c r="BM6" s="591" t="s">
        <v>1182</v>
      </c>
      <c r="BN6" s="566" t="s">
        <v>1181</v>
      </c>
      <c r="BO6" s="587" t="s">
        <v>23</v>
      </c>
      <c r="BP6" s="588" t="s">
        <v>22</v>
      </c>
      <c r="BQ6" s="587" t="s">
        <v>23</v>
      </c>
      <c r="BR6" s="588" t="s">
        <v>22</v>
      </c>
      <c r="BS6" s="587" t="s">
        <v>23</v>
      </c>
      <c r="BT6" s="588" t="s">
        <v>22</v>
      </c>
      <c r="BU6" s="587" t="s">
        <v>23</v>
      </c>
      <c r="BV6" s="588" t="s">
        <v>22</v>
      </c>
      <c r="BW6" s="555" t="s">
        <v>1224</v>
      </c>
      <c r="BX6" s="556" t="s">
        <v>1225</v>
      </c>
      <c r="BY6" s="555" t="s">
        <v>1226</v>
      </c>
      <c r="BZ6" s="562"/>
      <c r="CA6" s="562"/>
      <c r="CB6" s="555"/>
    </row>
    <row r="7" spans="1:80" ht="65.25" customHeight="1" thickBot="1" x14ac:dyDescent="0.3">
      <c r="A7" s="788" t="s">
        <v>59</v>
      </c>
      <c r="B7" s="788" t="s">
        <v>1114</v>
      </c>
      <c r="C7" s="901"/>
      <c r="D7" s="898" t="s">
        <v>1113</v>
      </c>
      <c r="E7" s="904"/>
      <c r="F7" s="621" t="s">
        <v>1218</v>
      </c>
      <c r="G7" s="621"/>
      <c r="H7" s="511" t="s">
        <v>1116</v>
      </c>
      <c r="I7" s="265">
        <v>0</v>
      </c>
      <c r="J7" s="293" t="s">
        <v>1117</v>
      </c>
      <c r="K7" s="568" t="s">
        <v>1118</v>
      </c>
      <c r="L7" s="592"/>
      <c r="M7" s="624">
        <v>0.4</v>
      </c>
      <c r="N7" s="625">
        <v>0.25</v>
      </c>
      <c r="O7" s="597">
        <f>75000/BM3</f>
        <v>7.6475501501356851E-4</v>
      </c>
      <c r="P7" s="625">
        <v>0.15</v>
      </c>
      <c r="Q7" s="597">
        <f>45000/BM3</f>
        <v>4.5885300900814108E-4</v>
      </c>
      <c r="R7" s="597">
        <f>N7+P7</f>
        <v>0.4</v>
      </c>
      <c r="S7" s="425">
        <f>O7+Q7</f>
        <v>1.2236080240217097E-3</v>
      </c>
      <c r="T7" s="513">
        <v>1</v>
      </c>
      <c r="U7" s="598">
        <f>100%-M7</f>
        <v>0.6</v>
      </c>
      <c r="V7" s="514"/>
      <c r="W7" s="514"/>
      <c r="X7" s="514"/>
      <c r="Y7" s="514"/>
      <c r="Z7" s="64"/>
      <c r="AA7" s="65"/>
      <c r="AB7" s="65"/>
      <c r="AC7" s="65"/>
      <c r="AD7" s="65"/>
      <c r="AE7" s="65"/>
      <c r="AF7" s="64"/>
      <c r="AG7" s="65"/>
      <c r="AH7" s="65"/>
      <c r="AI7" s="65"/>
      <c r="AJ7" s="65"/>
      <c r="AK7" s="65"/>
      <c r="AL7" s="516">
        <v>300000</v>
      </c>
      <c r="AM7" s="516">
        <f>AO7+AR7+AU7+AX7</f>
        <v>0</v>
      </c>
      <c r="AN7" s="516"/>
      <c r="AO7" s="516">
        <v>0</v>
      </c>
      <c r="AP7" s="410">
        <v>0.4</v>
      </c>
      <c r="AQ7" s="516">
        <f>AL7-AO7</f>
        <v>300000</v>
      </c>
      <c r="AR7" s="516"/>
      <c r="AS7" s="410"/>
      <c r="AT7" s="635">
        <f>AQ7-AR7</f>
        <v>300000</v>
      </c>
      <c r="AU7" s="68"/>
      <c r="AV7" s="65"/>
      <c r="AW7" s="639">
        <f>AT7-AU7</f>
        <v>300000</v>
      </c>
      <c r="AX7" s="329"/>
      <c r="AY7" s="410"/>
      <c r="AZ7" s="639">
        <f>AW7-AX7</f>
        <v>300000</v>
      </c>
      <c r="BA7" s="523"/>
      <c r="BB7" s="410"/>
      <c r="BC7" s="68"/>
      <c r="BD7" s="65"/>
      <c r="BE7" s="63"/>
      <c r="BF7" s="63"/>
      <c r="BG7" s="63"/>
      <c r="BH7" s="516">
        <v>300000</v>
      </c>
      <c r="BI7" s="70">
        <v>1</v>
      </c>
      <c r="BJ7" s="63"/>
      <c r="BK7" s="63"/>
      <c r="BL7" s="63"/>
      <c r="BM7" s="601">
        <f>+AL7/BN5</f>
        <v>0.43352601156069365</v>
      </c>
      <c r="BN7" s="602">
        <f>AL7/BM3</f>
        <v>3.059020060054274E-3</v>
      </c>
      <c r="BO7" s="589"/>
      <c r="BP7" s="589"/>
      <c r="BQ7" s="589"/>
      <c r="BR7" s="589"/>
      <c r="BS7" s="589"/>
      <c r="BT7" s="589"/>
      <c r="BU7" s="589"/>
      <c r="BV7" s="589"/>
      <c r="BW7" s="623">
        <f>BY7-BX7</f>
        <v>19257</v>
      </c>
      <c r="BX7" s="623">
        <v>16806</v>
      </c>
      <c r="BY7" s="623">
        <v>36063</v>
      </c>
      <c r="BZ7" s="522" t="s">
        <v>1114</v>
      </c>
      <c r="CA7" s="616" t="s">
        <v>59</v>
      </c>
      <c r="CB7" s="616" t="s">
        <v>1227</v>
      </c>
    </row>
    <row r="8" spans="1:80" s="53" customFormat="1" ht="65.25" customHeight="1" thickBot="1" x14ac:dyDescent="0.3">
      <c r="A8" s="789"/>
      <c r="B8" s="789"/>
      <c r="C8" s="902"/>
      <c r="D8" s="899"/>
      <c r="E8" s="905"/>
      <c r="F8" s="621"/>
      <c r="G8" s="621"/>
      <c r="H8" s="626" t="s">
        <v>1191</v>
      </c>
      <c r="I8" s="299"/>
      <c r="J8" s="621"/>
      <c r="K8" s="622"/>
      <c r="L8" s="592"/>
      <c r="M8" s="624"/>
      <c r="N8" s="625"/>
      <c r="O8" s="597"/>
      <c r="P8" s="625"/>
      <c r="Q8" s="597"/>
      <c r="R8" s="597"/>
      <c r="S8" s="425"/>
      <c r="T8" s="513"/>
      <c r="U8" s="598"/>
      <c r="V8" s="514"/>
      <c r="W8" s="514"/>
      <c r="X8" s="514"/>
      <c r="Y8" s="514"/>
      <c r="Z8" s="64"/>
      <c r="AA8" s="65"/>
      <c r="AB8" s="65"/>
      <c r="AC8" s="65"/>
      <c r="AD8" s="65"/>
      <c r="AE8" s="65"/>
      <c r="AF8" s="64"/>
      <c r="AG8" s="65"/>
      <c r="AH8" s="65"/>
      <c r="AI8" s="65"/>
      <c r="AJ8" s="65"/>
      <c r="AK8" s="65"/>
      <c r="AL8" s="516"/>
      <c r="AM8" s="516"/>
      <c r="AN8" s="516"/>
      <c r="AO8" s="516"/>
      <c r="AP8" s="410"/>
      <c r="AQ8" s="516"/>
      <c r="AR8" s="516"/>
      <c r="AS8" s="410"/>
      <c r="AT8" s="410"/>
      <c r="AU8" s="68"/>
      <c r="AV8" s="65"/>
      <c r="AW8" s="65"/>
      <c r="AX8" s="68"/>
      <c r="AY8" s="65"/>
      <c r="AZ8" s="65"/>
      <c r="BA8" s="523"/>
      <c r="BB8" s="410"/>
      <c r="BC8" s="68"/>
      <c r="BD8" s="65"/>
      <c r="BE8" s="63"/>
      <c r="BF8" s="63"/>
      <c r="BG8" s="63"/>
      <c r="BH8" s="516"/>
      <c r="BI8" s="70"/>
      <c r="BJ8" s="63"/>
      <c r="BK8" s="63"/>
      <c r="BL8" s="63"/>
      <c r="BM8" s="601"/>
      <c r="BN8" s="602"/>
      <c r="BO8" s="589"/>
      <c r="BP8" s="589"/>
      <c r="BQ8" s="589"/>
      <c r="BR8" s="589"/>
      <c r="BS8" s="589"/>
      <c r="BT8" s="589"/>
      <c r="BU8" s="589"/>
      <c r="BV8" s="589"/>
      <c r="BW8" s="572"/>
      <c r="BX8" s="572"/>
      <c r="BY8" s="572"/>
      <c r="BZ8" s="522"/>
      <c r="CA8" s="522"/>
      <c r="CB8" s="616"/>
    </row>
    <row r="9" spans="1:80" ht="47.25" customHeight="1" thickBot="1" x14ac:dyDescent="0.3">
      <c r="A9" s="789"/>
      <c r="B9" s="789"/>
      <c r="C9" s="902"/>
      <c r="D9" s="899"/>
      <c r="E9" s="905"/>
      <c r="F9" s="621" t="s">
        <v>1219</v>
      </c>
      <c r="G9" s="621"/>
      <c r="H9" s="511" t="s">
        <v>1232</v>
      </c>
      <c r="I9" s="264">
        <v>0</v>
      </c>
      <c r="J9" s="511" t="s">
        <v>1119</v>
      </c>
      <c r="K9" s="515" t="s">
        <v>608</v>
      </c>
      <c r="L9" s="513">
        <v>1</v>
      </c>
      <c r="M9" s="604"/>
      <c r="N9" s="514"/>
      <c r="O9" s="514"/>
      <c r="P9" s="514"/>
      <c r="Q9" s="514"/>
      <c r="R9" s="514"/>
      <c r="S9" s="514"/>
      <c r="T9" s="514"/>
      <c r="U9" s="514">
        <v>1</v>
      </c>
      <c r="V9" s="514"/>
      <c r="W9" s="514"/>
      <c r="X9" s="514"/>
      <c r="Y9" s="514"/>
      <c r="Z9" s="64"/>
      <c r="AA9" s="65"/>
      <c r="AB9" s="65"/>
      <c r="AC9" s="65"/>
      <c r="AD9" s="65"/>
      <c r="AE9" s="65"/>
      <c r="AF9" s="64"/>
      <c r="AG9" s="65"/>
      <c r="AH9" s="65"/>
      <c r="AI9" s="65"/>
      <c r="AJ9" s="65"/>
      <c r="AK9" s="65"/>
      <c r="AL9" s="516">
        <v>20000</v>
      </c>
      <c r="AM9" s="516">
        <v>20000</v>
      </c>
      <c r="AN9" s="516"/>
      <c r="AO9" s="516"/>
      <c r="AP9" s="410"/>
      <c r="AQ9" s="516"/>
      <c r="AR9" s="516">
        <v>20000</v>
      </c>
      <c r="AS9" s="410">
        <v>1</v>
      </c>
      <c r="AT9" s="410"/>
      <c r="AU9" s="68"/>
      <c r="AV9" s="65"/>
      <c r="AW9" s="65"/>
      <c r="AX9" s="68"/>
      <c r="AY9" s="65"/>
      <c r="AZ9" s="65"/>
      <c r="BA9" s="524">
        <v>20000</v>
      </c>
      <c r="BB9" s="410">
        <v>1</v>
      </c>
      <c r="BC9" s="68"/>
      <c r="BD9" s="65"/>
      <c r="BE9" s="63"/>
      <c r="BF9" s="63"/>
      <c r="BG9" s="68"/>
      <c r="BH9" s="69"/>
      <c r="BI9" s="70"/>
      <c r="BJ9" s="63"/>
      <c r="BK9" s="63"/>
      <c r="BL9" s="63"/>
      <c r="BM9" s="601">
        <f>+AL9/BN5</f>
        <v>2.8901734104046242E-2</v>
      </c>
      <c r="BN9" s="602">
        <f>AL9/BM3</f>
        <v>2.0393467067028492E-4</v>
      </c>
      <c r="BO9" s="590"/>
      <c r="BP9" s="590"/>
      <c r="BQ9" s="590"/>
      <c r="BR9" s="590"/>
      <c r="BS9" s="590"/>
      <c r="BT9" s="590"/>
      <c r="BU9" s="590"/>
      <c r="BV9" s="590"/>
      <c r="BW9" s="572"/>
      <c r="BX9" s="572"/>
      <c r="BY9" s="572"/>
      <c r="BZ9" s="522" t="s">
        <v>1114</v>
      </c>
      <c r="CA9" s="522" t="s">
        <v>1126</v>
      </c>
      <c r="CB9" s="512" t="s">
        <v>1128</v>
      </c>
    </row>
    <row r="10" spans="1:80" s="53" customFormat="1" ht="47.25" customHeight="1" x14ac:dyDescent="0.25">
      <c r="A10" s="789"/>
      <c r="B10" s="789"/>
      <c r="C10" s="902"/>
      <c r="D10" s="899"/>
      <c r="E10" s="905"/>
      <c r="F10" s="887" t="s">
        <v>609</v>
      </c>
      <c r="G10" s="887"/>
      <c r="H10" s="871" t="s">
        <v>1231</v>
      </c>
      <c r="I10" s="916">
        <v>0</v>
      </c>
      <c r="J10" s="871" t="s">
        <v>1120</v>
      </c>
      <c r="K10" s="872" t="s">
        <v>1121</v>
      </c>
      <c r="L10" s="573"/>
      <c r="M10" s="605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5"/>
      <c r="AA10" s="576"/>
      <c r="AB10" s="576"/>
      <c r="AC10" s="576"/>
      <c r="AD10" s="576"/>
      <c r="AE10" s="576"/>
      <c r="AF10" s="575"/>
      <c r="AG10" s="576"/>
      <c r="AH10" s="576"/>
      <c r="AI10" s="576"/>
      <c r="AJ10" s="576"/>
      <c r="AK10" s="576"/>
      <c r="AL10" s="893">
        <v>150000</v>
      </c>
      <c r="AM10" s="893">
        <v>150000</v>
      </c>
      <c r="AN10" s="618"/>
      <c r="AO10" s="577"/>
      <c r="AP10" s="579"/>
      <c r="AQ10" s="577"/>
      <c r="AR10" s="577"/>
      <c r="AS10" s="579"/>
      <c r="AT10" s="579"/>
      <c r="AU10" s="578"/>
      <c r="AV10" s="576"/>
      <c r="AW10" s="576"/>
      <c r="AX10" s="578"/>
      <c r="AY10" s="576"/>
      <c r="AZ10" s="636"/>
      <c r="BA10" s="918">
        <v>150000</v>
      </c>
      <c r="BB10" s="921">
        <v>1</v>
      </c>
      <c r="BC10" s="578"/>
      <c r="BD10" s="576"/>
      <c r="BE10" s="580"/>
      <c r="BF10" s="580"/>
      <c r="BG10" s="578"/>
      <c r="BH10" s="606"/>
      <c r="BI10" s="582"/>
      <c r="BJ10" s="580"/>
      <c r="BK10" s="580"/>
      <c r="BL10" s="580"/>
      <c r="BM10" s="607">
        <f>+AL10/BN5</f>
        <v>0.21676300578034682</v>
      </c>
      <c r="BN10" s="608">
        <f>AL10/BM3</f>
        <v>1.529510030027137E-3</v>
      </c>
      <c r="BO10" s="609">
        <v>98642</v>
      </c>
      <c r="BP10" s="610">
        <v>0.15</v>
      </c>
      <c r="BQ10" s="609"/>
      <c r="BR10" s="610"/>
      <c r="BS10" s="609"/>
      <c r="BT10" s="610"/>
      <c r="BU10" s="609"/>
      <c r="BV10" s="610"/>
      <c r="BW10" s="572"/>
      <c r="BX10" s="572"/>
      <c r="BY10" s="572"/>
      <c r="BZ10" s="522"/>
      <c r="CA10" s="522"/>
      <c r="CB10" s="561"/>
    </row>
    <row r="11" spans="1:80" s="53" customFormat="1" ht="47.25" customHeight="1" x14ac:dyDescent="0.25">
      <c r="A11" s="789"/>
      <c r="B11" s="789"/>
      <c r="C11" s="902"/>
      <c r="D11" s="899"/>
      <c r="E11" s="905"/>
      <c r="F11" s="888"/>
      <c r="G11" s="888"/>
      <c r="H11" s="872"/>
      <c r="I11" s="916"/>
      <c r="J11" s="872"/>
      <c r="K11" s="872"/>
      <c r="L11" s="573"/>
      <c r="M11" s="605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5"/>
      <c r="AA11" s="576"/>
      <c r="AB11" s="576"/>
      <c r="AC11" s="576"/>
      <c r="AD11" s="576"/>
      <c r="AE11" s="576"/>
      <c r="AF11" s="575"/>
      <c r="AG11" s="576"/>
      <c r="AH11" s="576"/>
      <c r="AI11" s="576"/>
      <c r="AJ11" s="576"/>
      <c r="AK11" s="576"/>
      <c r="AL11" s="894"/>
      <c r="AM11" s="894"/>
      <c r="AN11" s="619"/>
      <c r="AO11" s="577"/>
      <c r="AP11" s="579"/>
      <c r="AQ11" s="577"/>
      <c r="AR11" s="577"/>
      <c r="AS11" s="579"/>
      <c r="AT11" s="579"/>
      <c r="AU11" s="578"/>
      <c r="AV11" s="576"/>
      <c r="AW11" s="576"/>
      <c r="AX11" s="578"/>
      <c r="AY11" s="576"/>
      <c r="AZ11" s="637"/>
      <c r="BA11" s="919"/>
      <c r="BB11" s="922"/>
      <c r="BC11" s="578"/>
      <c r="BD11" s="576"/>
      <c r="BE11" s="580"/>
      <c r="BF11" s="580"/>
      <c r="BG11" s="578"/>
      <c r="BH11" s="606"/>
      <c r="BI11" s="582"/>
      <c r="BJ11" s="580"/>
      <c r="BK11" s="580"/>
      <c r="BL11" s="580"/>
      <c r="BM11" s="607">
        <f>+AL11/BN5</f>
        <v>0</v>
      </c>
      <c r="BN11" s="608">
        <f>AL11/BM3</f>
        <v>0</v>
      </c>
      <c r="BO11" s="590"/>
      <c r="BP11" s="590"/>
      <c r="BQ11" s="590"/>
      <c r="BR11" s="590"/>
      <c r="BS11" s="590"/>
      <c r="BT11" s="590"/>
      <c r="BU11" s="590"/>
      <c r="BV11" s="590"/>
      <c r="BW11" s="572"/>
      <c r="BX11" s="572"/>
      <c r="BY11" s="572"/>
      <c r="BZ11" s="522"/>
      <c r="CA11" s="522"/>
      <c r="CB11" s="561"/>
    </row>
    <row r="12" spans="1:80" s="586" customFormat="1" ht="65.25" customHeight="1" thickBot="1" x14ac:dyDescent="0.3">
      <c r="A12" s="789"/>
      <c r="B12" s="789"/>
      <c r="C12" s="902"/>
      <c r="D12" s="899"/>
      <c r="E12" s="905"/>
      <c r="F12" s="889"/>
      <c r="G12" s="889"/>
      <c r="H12" s="873"/>
      <c r="I12" s="917"/>
      <c r="J12" s="873"/>
      <c r="K12" s="873"/>
      <c r="L12" s="573"/>
      <c r="M12" s="605"/>
      <c r="N12" s="574"/>
      <c r="O12" s="574"/>
      <c r="P12" s="574"/>
      <c r="Q12" s="574"/>
      <c r="R12" s="574"/>
      <c r="S12" s="574"/>
      <c r="T12" s="575"/>
      <c r="U12" s="576"/>
      <c r="V12" s="576"/>
      <c r="W12" s="576"/>
      <c r="X12" s="576"/>
      <c r="Y12" s="576"/>
      <c r="Z12" s="575"/>
      <c r="AA12" s="576"/>
      <c r="AB12" s="576"/>
      <c r="AC12" s="576"/>
      <c r="AD12" s="576"/>
      <c r="AE12" s="576"/>
      <c r="AF12" s="575"/>
      <c r="AG12" s="576"/>
      <c r="AH12" s="576"/>
      <c r="AI12" s="576"/>
      <c r="AJ12" s="576"/>
      <c r="AK12" s="576"/>
      <c r="AL12" s="895"/>
      <c r="AM12" s="895"/>
      <c r="AN12" s="620"/>
      <c r="AO12" s="577"/>
      <c r="AP12" s="579"/>
      <c r="AQ12" s="577"/>
      <c r="AR12" s="578"/>
      <c r="AS12" s="576"/>
      <c r="AT12" s="576"/>
      <c r="AU12" s="578"/>
      <c r="AV12" s="576"/>
      <c r="AW12" s="576"/>
      <c r="AX12" s="578"/>
      <c r="AY12" s="576"/>
      <c r="AZ12" s="638"/>
      <c r="BA12" s="920"/>
      <c r="BB12" s="923"/>
      <c r="BC12" s="578"/>
      <c r="BD12" s="576"/>
      <c r="BE12" s="580"/>
      <c r="BF12" s="580"/>
      <c r="BG12" s="580"/>
      <c r="BH12" s="581"/>
      <c r="BI12" s="582"/>
      <c r="BJ12" s="580"/>
      <c r="BK12" s="580"/>
      <c r="BL12" s="580"/>
      <c r="BM12" s="607">
        <f>+AL12/BN5</f>
        <v>0</v>
      </c>
      <c r="BN12" s="608">
        <f>AL12/BM3</f>
        <v>0</v>
      </c>
      <c r="BO12" s="590"/>
      <c r="BP12" s="590"/>
      <c r="BQ12" s="590"/>
      <c r="BR12" s="590"/>
      <c r="BS12" s="590"/>
      <c r="BT12" s="590"/>
      <c r="BU12" s="590"/>
      <c r="BV12" s="590"/>
      <c r="BW12" s="583"/>
      <c r="BX12" s="583"/>
      <c r="BY12" s="583"/>
      <c r="BZ12" s="584" t="s">
        <v>1114</v>
      </c>
      <c r="CA12" s="584" t="s">
        <v>1126</v>
      </c>
      <c r="CB12" s="585" t="s">
        <v>1129</v>
      </c>
    </row>
    <row r="13" spans="1:80" ht="62.25" customHeight="1" thickBot="1" x14ac:dyDescent="0.3">
      <c r="A13" s="789"/>
      <c r="B13" s="789"/>
      <c r="C13" s="902"/>
      <c r="D13" s="899"/>
      <c r="E13" s="905"/>
      <c r="F13" s="258" t="s">
        <v>610</v>
      </c>
      <c r="G13" s="258"/>
      <c r="H13" s="258" t="s">
        <v>1230</v>
      </c>
      <c r="I13" s="268">
        <v>0</v>
      </c>
      <c r="J13" s="565" t="s">
        <v>1122</v>
      </c>
      <c r="K13" s="567" t="s">
        <v>1123</v>
      </c>
      <c r="L13" s="64"/>
      <c r="M13" s="604"/>
      <c r="N13" s="410"/>
      <c r="O13" s="410"/>
      <c r="P13" s="410"/>
      <c r="Q13" s="410"/>
      <c r="R13" s="410"/>
      <c r="S13" s="410"/>
      <c r="T13" s="513">
        <v>1</v>
      </c>
      <c r="U13" s="514">
        <v>1</v>
      </c>
      <c r="V13" s="514"/>
      <c r="W13" s="514"/>
      <c r="X13" s="514"/>
      <c r="Y13" s="514"/>
      <c r="Z13" s="409"/>
      <c r="AA13" s="65"/>
      <c r="AB13" s="65"/>
      <c r="AC13" s="65"/>
      <c r="AD13" s="65"/>
      <c r="AE13" s="65"/>
      <c r="AF13" s="64"/>
      <c r="AG13" s="65"/>
      <c r="AH13" s="65"/>
      <c r="AI13" s="65"/>
      <c r="AJ13" s="65"/>
      <c r="AK13" s="65"/>
      <c r="AL13" s="516">
        <v>150000</v>
      </c>
      <c r="AM13" s="516">
        <v>150000</v>
      </c>
      <c r="AN13" s="516"/>
      <c r="AO13" s="516"/>
      <c r="AP13" s="410"/>
      <c r="AQ13" s="516"/>
      <c r="AR13" s="68"/>
      <c r="AS13" s="65"/>
      <c r="AT13" s="65"/>
      <c r="AU13" s="68"/>
      <c r="AV13" s="65"/>
      <c r="AW13" s="65"/>
      <c r="AX13" s="68"/>
      <c r="AY13" s="65"/>
      <c r="AZ13" s="65"/>
      <c r="BA13" s="524">
        <v>150000</v>
      </c>
      <c r="BB13" s="410">
        <v>1</v>
      </c>
      <c r="BC13" s="68"/>
      <c r="BD13" s="65"/>
      <c r="BE13" s="63"/>
      <c r="BF13" s="63"/>
      <c r="BG13" s="63"/>
      <c r="BH13" s="516">
        <v>75000</v>
      </c>
      <c r="BI13" s="70">
        <v>0.79</v>
      </c>
      <c r="BJ13" s="63"/>
      <c r="BK13" s="63" t="s">
        <v>887</v>
      </c>
      <c r="BL13" s="63"/>
      <c r="BM13" s="601">
        <f>+AL13/BN5</f>
        <v>0.21676300578034682</v>
      </c>
      <c r="BN13" s="602">
        <f>AL13/BM3</f>
        <v>1.529510030027137E-3</v>
      </c>
      <c r="BO13" s="590"/>
      <c r="BP13" s="590"/>
      <c r="BQ13" s="590"/>
      <c r="BR13" s="590"/>
      <c r="BS13" s="590"/>
      <c r="BT13" s="590"/>
      <c r="BU13" s="590"/>
      <c r="BV13" s="590"/>
      <c r="BW13" s="572"/>
      <c r="BX13" s="572"/>
      <c r="BY13" s="572"/>
      <c r="BZ13" s="522" t="s">
        <v>1114</v>
      </c>
      <c r="CA13" s="522" t="s">
        <v>1126</v>
      </c>
      <c r="CB13" s="512" t="s">
        <v>1130</v>
      </c>
    </row>
    <row r="14" spans="1:80" s="53" customFormat="1" ht="62.25" customHeight="1" x14ac:dyDescent="0.25">
      <c r="A14" s="789"/>
      <c r="B14" s="789"/>
      <c r="C14" s="902"/>
      <c r="D14" s="899"/>
      <c r="E14" s="905"/>
      <c r="F14" s="871" t="s">
        <v>611</v>
      </c>
      <c r="G14" s="871"/>
      <c r="H14" s="871" t="s">
        <v>1228</v>
      </c>
      <c r="I14" s="915">
        <v>0</v>
      </c>
      <c r="J14" s="874" t="s">
        <v>1124</v>
      </c>
      <c r="K14" s="874" t="s">
        <v>1125</v>
      </c>
      <c r="L14" s="877">
        <v>4</v>
      </c>
      <c r="M14" s="880">
        <v>0.4</v>
      </c>
      <c r="N14" s="862">
        <v>2.0000000000000001E-4</v>
      </c>
      <c r="O14" s="868">
        <f>3600/BM3</f>
        <v>3.6708240720651286E-5</v>
      </c>
      <c r="P14" s="862">
        <v>1E-4</v>
      </c>
      <c r="Q14" s="868">
        <f>1200/BM3</f>
        <v>1.2236080240217095E-5</v>
      </c>
      <c r="R14" s="862">
        <f>N14+P14</f>
        <v>3.0000000000000003E-4</v>
      </c>
      <c r="S14" s="862">
        <f>O14+Q14</f>
        <v>4.8944320960868381E-5</v>
      </c>
      <c r="T14" s="865">
        <v>3</v>
      </c>
      <c r="U14" s="865">
        <v>70</v>
      </c>
      <c r="V14" s="865"/>
      <c r="W14" s="865"/>
      <c r="X14" s="865"/>
      <c r="Y14" s="865"/>
      <c r="Z14" s="865">
        <v>2</v>
      </c>
      <c r="AA14" s="865">
        <v>90</v>
      </c>
      <c r="AB14" s="865"/>
      <c r="AC14" s="865"/>
      <c r="AD14" s="865"/>
      <c r="AE14" s="865"/>
      <c r="AF14" s="865">
        <v>1</v>
      </c>
      <c r="AG14" s="862">
        <v>1</v>
      </c>
      <c r="AH14" s="850"/>
      <c r="AI14" s="850"/>
      <c r="AJ14" s="850"/>
      <c r="AK14" s="850"/>
      <c r="AL14" s="859">
        <v>12000</v>
      </c>
      <c r="AM14" s="859">
        <v>12000</v>
      </c>
      <c r="AN14" s="859"/>
      <c r="AO14" s="859">
        <v>3000</v>
      </c>
      <c r="AP14" s="862">
        <f>AO14/AM14</f>
        <v>0.25</v>
      </c>
      <c r="AQ14" s="859">
        <v>9000</v>
      </c>
      <c r="AR14" s="859">
        <v>3000</v>
      </c>
      <c r="AS14" s="850">
        <v>0.25</v>
      </c>
      <c r="AT14" s="850"/>
      <c r="AU14" s="859">
        <v>3000</v>
      </c>
      <c r="AV14" s="850">
        <v>0.25</v>
      </c>
      <c r="AW14" s="850"/>
      <c r="AX14" s="847">
        <v>3000</v>
      </c>
      <c r="AY14" s="850">
        <v>0.25</v>
      </c>
      <c r="AZ14" s="850"/>
      <c r="BA14" s="853">
        <v>12000</v>
      </c>
      <c r="BB14" s="856">
        <v>1</v>
      </c>
      <c r="BC14" s="844"/>
      <c r="BD14" s="844"/>
      <c r="BE14" s="844"/>
      <c r="BF14" s="844"/>
      <c r="BG14" s="844"/>
      <c r="BH14" s="844"/>
      <c r="BI14" s="844"/>
      <c r="BJ14" s="844"/>
      <c r="BK14" s="844"/>
      <c r="BL14" s="844"/>
      <c r="BM14" s="837">
        <f>+AL14/BN5</f>
        <v>1.7341040462427744E-2</v>
      </c>
      <c r="BN14" s="840">
        <f>AL14/BM3</f>
        <v>1.2236080240217095E-4</v>
      </c>
      <c r="BO14" s="590"/>
      <c r="BP14" s="590"/>
      <c r="BQ14" s="590"/>
      <c r="BR14" s="590"/>
      <c r="BS14" s="590"/>
      <c r="BT14" s="590"/>
      <c r="BU14" s="590"/>
      <c r="BV14" s="590"/>
      <c r="BW14" s="843"/>
      <c r="BX14" s="843"/>
      <c r="BY14" s="843"/>
      <c r="BZ14" s="914" t="s">
        <v>1114</v>
      </c>
      <c r="CA14" s="914" t="s">
        <v>1126</v>
      </c>
      <c r="CB14" s="908" t="s">
        <v>1127</v>
      </c>
    </row>
    <row r="15" spans="1:80" s="53" customFormat="1" ht="62.25" customHeight="1" x14ac:dyDescent="0.25">
      <c r="A15" s="789"/>
      <c r="B15" s="789"/>
      <c r="C15" s="902"/>
      <c r="D15" s="899"/>
      <c r="E15" s="905"/>
      <c r="F15" s="872"/>
      <c r="G15" s="872"/>
      <c r="H15" s="872"/>
      <c r="I15" s="916"/>
      <c r="J15" s="875"/>
      <c r="K15" s="875"/>
      <c r="L15" s="878"/>
      <c r="M15" s="881"/>
      <c r="N15" s="863"/>
      <c r="O15" s="869"/>
      <c r="P15" s="863"/>
      <c r="Q15" s="869"/>
      <c r="R15" s="863"/>
      <c r="S15" s="863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6"/>
      <c r="AE15" s="866"/>
      <c r="AF15" s="866"/>
      <c r="AG15" s="863"/>
      <c r="AH15" s="851"/>
      <c r="AI15" s="851"/>
      <c r="AJ15" s="851"/>
      <c r="AK15" s="851"/>
      <c r="AL15" s="860"/>
      <c r="AM15" s="860"/>
      <c r="AN15" s="860"/>
      <c r="AO15" s="860"/>
      <c r="AP15" s="863"/>
      <c r="AQ15" s="860"/>
      <c r="AR15" s="860"/>
      <c r="AS15" s="851"/>
      <c r="AT15" s="851"/>
      <c r="AU15" s="860"/>
      <c r="AV15" s="851"/>
      <c r="AW15" s="851"/>
      <c r="AX15" s="848"/>
      <c r="AY15" s="851"/>
      <c r="AZ15" s="851"/>
      <c r="BA15" s="854"/>
      <c r="BB15" s="857"/>
      <c r="BC15" s="845"/>
      <c r="BD15" s="845"/>
      <c r="BE15" s="845"/>
      <c r="BF15" s="845"/>
      <c r="BG15" s="845"/>
      <c r="BH15" s="845"/>
      <c r="BI15" s="845"/>
      <c r="BJ15" s="845"/>
      <c r="BK15" s="845"/>
      <c r="BL15" s="845"/>
      <c r="BM15" s="838"/>
      <c r="BN15" s="841"/>
      <c r="BO15" s="590"/>
      <c r="BP15" s="590"/>
      <c r="BQ15" s="590"/>
      <c r="BR15" s="590"/>
      <c r="BS15" s="590"/>
      <c r="BT15" s="590"/>
      <c r="BU15" s="590"/>
      <c r="BV15" s="590"/>
      <c r="BW15" s="843"/>
      <c r="BX15" s="843"/>
      <c r="BY15" s="843"/>
      <c r="BZ15" s="914"/>
      <c r="CA15" s="914"/>
      <c r="CB15" s="909"/>
    </row>
    <row r="16" spans="1:80" s="586" customFormat="1" ht="91.5" customHeight="1" thickBot="1" x14ac:dyDescent="0.3">
      <c r="A16" s="789"/>
      <c r="B16" s="789"/>
      <c r="C16" s="902"/>
      <c r="D16" s="899"/>
      <c r="E16" s="905"/>
      <c r="F16" s="873"/>
      <c r="G16" s="873"/>
      <c r="H16" s="873"/>
      <c r="I16" s="917"/>
      <c r="J16" s="876"/>
      <c r="K16" s="876"/>
      <c r="L16" s="879"/>
      <c r="M16" s="882"/>
      <c r="N16" s="864"/>
      <c r="O16" s="870"/>
      <c r="P16" s="864"/>
      <c r="Q16" s="870"/>
      <c r="R16" s="864"/>
      <c r="S16" s="864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4"/>
      <c r="AH16" s="852"/>
      <c r="AI16" s="852"/>
      <c r="AJ16" s="852"/>
      <c r="AK16" s="852"/>
      <c r="AL16" s="861"/>
      <c r="AM16" s="861"/>
      <c r="AN16" s="861"/>
      <c r="AO16" s="861"/>
      <c r="AP16" s="864"/>
      <c r="AQ16" s="861"/>
      <c r="AR16" s="861"/>
      <c r="AS16" s="852"/>
      <c r="AT16" s="852"/>
      <c r="AU16" s="861"/>
      <c r="AV16" s="852"/>
      <c r="AW16" s="852"/>
      <c r="AX16" s="849"/>
      <c r="AY16" s="852"/>
      <c r="AZ16" s="852"/>
      <c r="BA16" s="855"/>
      <c r="BB16" s="858"/>
      <c r="BC16" s="846"/>
      <c r="BD16" s="846"/>
      <c r="BE16" s="846"/>
      <c r="BF16" s="846"/>
      <c r="BG16" s="846"/>
      <c r="BH16" s="846"/>
      <c r="BI16" s="846"/>
      <c r="BJ16" s="846"/>
      <c r="BK16" s="846"/>
      <c r="BL16" s="846"/>
      <c r="BM16" s="839"/>
      <c r="BN16" s="842"/>
      <c r="BO16" s="590"/>
      <c r="BP16" s="590"/>
      <c r="BQ16" s="590"/>
      <c r="BR16" s="590"/>
      <c r="BS16" s="590"/>
      <c r="BT16" s="590"/>
      <c r="BU16" s="590"/>
      <c r="BV16" s="590"/>
      <c r="BW16" s="843"/>
      <c r="BX16" s="843"/>
      <c r="BY16" s="843"/>
      <c r="BZ16" s="914"/>
      <c r="CA16" s="914"/>
      <c r="CB16" s="910"/>
    </row>
    <row r="17" spans="1:80" ht="60" customHeight="1" thickBot="1" x14ac:dyDescent="0.3">
      <c r="A17" s="830"/>
      <c r="B17" s="830"/>
      <c r="C17" s="903"/>
      <c r="D17" s="900"/>
      <c r="E17" s="906"/>
      <c r="F17" s="293" t="s">
        <v>612</v>
      </c>
      <c r="G17" s="293"/>
      <c r="H17" s="271" t="s">
        <v>1229</v>
      </c>
      <c r="I17" s="265">
        <v>0</v>
      </c>
      <c r="J17" s="293" t="s">
        <v>1189</v>
      </c>
      <c r="K17" s="293" t="s">
        <v>613</v>
      </c>
      <c r="L17" s="64"/>
      <c r="M17" s="514">
        <v>0.8</v>
      </c>
      <c r="N17" s="600">
        <v>0.16</v>
      </c>
      <c r="O17" s="599">
        <f>48000/BM3</f>
        <v>4.8944320960868381E-4</v>
      </c>
      <c r="P17" s="65"/>
      <c r="Q17" s="65"/>
      <c r="R17" s="599">
        <f>N17+P17</f>
        <v>0.16</v>
      </c>
      <c r="S17" s="599">
        <f>O17+Q17</f>
        <v>4.8944320960868381E-4</v>
      </c>
      <c r="T17" s="513">
        <v>1</v>
      </c>
      <c r="U17" s="514">
        <v>1</v>
      </c>
      <c r="V17" s="514"/>
      <c r="W17" s="514"/>
      <c r="X17" s="514"/>
      <c r="Y17" s="514"/>
      <c r="Z17" s="64"/>
      <c r="AA17" s="65"/>
      <c r="AB17" s="65"/>
      <c r="AC17" s="65"/>
      <c r="AD17" s="65"/>
      <c r="AE17" s="65"/>
      <c r="AF17" s="64"/>
      <c r="AG17" s="65"/>
      <c r="AH17" s="65"/>
      <c r="AI17" s="65"/>
      <c r="AJ17" s="65"/>
      <c r="AK17" s="65"/>
      <c r="AL17" s="516">
        <v>60000</v>
      </c>
      <c r="AM17" s="516">
        <v>60000</v>
      </c>
      <c r="AN17" s="516"/>
      <c r="AO17" s="516">
        <v>10000</v>
      </c>
      <c r="AP17" s="600">
        <f>AO17/AM17</f>
        <v>0.16666666666666666</v>
      </c>
      <c r="AQ17" s="516">
        <v>50000</v>
      </c>
      <c r="AR17" s="516">
        <v>50000</v>
      </c>
      <c r="AS17" s="410">
        <f>100%-AP17</f>
        <v>0.83333333333333337</v>
      </c>
      <c r="AT17" s="65"/>
      <c r="AU17" s="68"/>
      <c r="AV17" s="65"/>
      <c r="AW17" s="65"/>
      <c r="AX17" s="68"/>
      <c r="AY17" s="65"/>
      <c r="AZ17" s="65"/>
      <c r="BA17" s="524">
        <v>60000</v>
      </c>
      <c r="BB17" s="410">
        <v>1</v>
      </c>
      <c r="BC17" s="68"/>
      <c r="BD17" s="65"/>
      <c r="BE17" s="63"/>
      <c r="BF17" s="63"/>
      <c r="BG17" s="63"/>
      <c r="BH17" s="71"/>
      <c r="BI17" s="70"/>
      <c r="BJ17" s="63"/>
      <c r="BK17" s="63"/>
      <c r="BL17" s="63"/>
      <c r="BM17" s="601">
        <f>+AL17/BN5</f>
        <v>8.6705202312138727E-2</v>
      </c>
      <c r="BN17" s="602">
        <f>AL17/BM3</f>
        <v>6.1180401201085474E-4</v>
      </c>
      <c r="BO17" s="590"/>
      <c r="BP17" s="590"/>
      <c r="BQ17" s="590"/>
      <c r="BR17" s="590"/>
      <c r="BS17" s="590"/>
      <c r="BT17" s="590"/>
      <c r="BU17" s="590"/>
      <c r="BV17" s="590"/>
      <c r="BW17" s="572"/>
      <c r="BX17" s="572"/>
      <c r="BY17" s="572"/>
      <c r="BZ17" s="522" t="s">
        <v>1114</v>
      </c>
      <c r="CA17" s="522" t="s">
        <v>1126</v>
      </c>
      <c r="CB17" s="512" t="s">
        <v>1131</v>
      </c>
    </row>
    <row r="19" spans="1:80" x14ac:dyDescent="0.25">
      <c r="R19" s="603">
        <f>+SUM(R7:R17)</f>
        <v>0.56030000000000002</v>
      </c>
      <c r="S19" s="603">
        <f>+SUM(S7:S17)</f>
        <v>1.7619955545912619E-3</v>
      </c>
    </row>
    <row r="20" spans="1:80" x14ac:dyDescent="0.25">
      <c r="BM20" s="596"/>
    </row>
  </sheetData>
  <mergeCells count="138">
    <mergeCell ref="AX3:AY3"/>
    <mergeCell ref="BA3:BB3"/>
    <mergeCell ref="I10:I12"/>
    <mergeCell ref="J10:J12"/>
    <mergeCell ref="BO4:BV4"/>
    <mergeCell ref="BO5:BP5"/>
    <mergeCell ref="BQ5:BR5"/>
    <mergeCell ref="BS5:BT5"/>
    <mergeCell ref="BU5:BV5"/>
    <mergeCell ref="CB14:CB16"/>
    <mergeCell ref="H14:H16"/>
    <mergeCell ref="BW4:BY5"/>
    <mergeCell ref="BZ2:CB4"/>
    <mergeCell ref="AR3:AT3"/>
    <mergeCell ref="AO3:AQ3"/>
    <mergeCell ref="V5:W5"/>
    <mergeCell ref="X5:Y5"/>
    <mergeCell ref="AB5:AC5"/>
    <mergeCell ref="AD5:AE5"/>
    <mergeCell ref="AH5:AI5"/>
    <mergeCell ref="AJ5:AK5"/>
    <mergeCell ref="BZ14:BZ16"/>
    <mergeCell ref="H10:H12"/>
    <mergeCell ref="I14:I16"/>
    <mergeCell ref="BA10:BA12"/>
    <mergeCell ref="CA14:CA16"/>
    <mergeCell ref="BB10:BB12"/>
    <mergeCell ref="H2:H6"/>
    <mergeCell ref="I2:I6"/>
    <mergeCell ref="J2:J6"/>
    <mergeCell ref="K2:K6"/>
    <mergeCell ref="L2:AK2"/>
    <mergeCell ref="AU3:AV3"/>
    <mergeCell ref="K10:K12"/>
    <mergeCell ref="AL10:AL12"/>
    <mergeCell ref="AM10:AM12"/>
    <mergeCell ref="AN2:AN5"/>
    <mergeCell ref="A2:A6"/>
    <mergeCell ref="B2:B6"/>
    <mergeCell ref="C2:C6"/>
    <mergeCell ref="D2:D6"/>
    <mergeCell ref="E2:E6"/>
    <mergeCell ref="D7:D17"/>
    <mergeCell ref="A7:A17"/>
    <mergeCell ref="B7:B17"/>
    <mergeCell ref="C7:C17"/>
    <mergeCell ref="E7:E17"/>
    <mergeCell ref="L3:S3"/>
    <mergeCell ref="R4:S4"/>
    <mergeCell ref="F2:F6"/>
    <mergeCell ref="F14:F16"/>
    <mergeCell ref="F10:F12"/>
    <mergeCell ref="G2:G6"/>
    <mergeCell ref="BM2:BN2"/>
    <mergeCell ref="AO2:AY2"/>
    <mergeCell ref="BA2:BL2"/>
    <mergeCell ref="BM3:BN3"/>
    <mergeCell ref="G10:G12"/>
    <mergeCell ref="AL2:AL5"/>
    <mergeCell ref="BJ3:BL3"/>
    <mergeCell ref="BC3:BE3"/>
    <mergeCell ref="BF3:BG3"/>
    <mergeCell ref="BH3:BI3"/>
    <mergeCell ref="AM2:AM5"/>
    <mergeCell ref="L4:L5"/>
    <mergeCell ref="M4:M5"/>
    <mergeCell ref="T4:T5"/>
    <mergeCell ref="U4:U5"/>
    <mergeCell ref="N5:O5"/>
    <mergeCell ref="P5:Q5"/>
    <mergeCell ref="N4:Q4"/>
    <mergeCell ref="T3:Y3"/>
    <mergeCell ref="Z3:AE3"/>
    <mergeCell ref="AF3:AK3"/>
    <mergeCell ref="AB4:AE4"/>
    <mergeCell ref="AH4:AK4"/>
    <mergeCell ref="V4:Y4"/>
    <mergeCell ref="N14:N16"/>
    <mergeCell ref="O14:O16"/>
    <mergeCell ref="P14:P16"/>
    <mergeCell ref="Q14:Q16"/>
    <mergeCell ref="R14:R16"/>
    <mergeCell ref="G14:G16"/>
    <mergeCell ref="J14:J16"/>
    <mergeCell ref="K14:K16"/>
    <mergeCell ref="L14:L16"/>
    <mergeCell ref="M14:M16"/>
    <mergeCell ref="X14:X16"/>
    <mergeCell ref="Y14:Y16"/>
    <mergeCell ref="Z14:Z16"/>
    <mergeCell ref="AA14:AA16"/>
    <mergeCell ref="AB14:AB16"/>
    <mergeCell ref="S14:S16"/>
    <mergeCell ref="T14:T16"/>
    <mergeCell ref="U14:U16"/>
    <mergeCell ref="V14:V16"/>
    <mergeCell ref="W14:W16"/>
    <mergeCell ref="AH14:AH16"/>
    <mergeCell ref="AI14:AI16"/>
    <mergeCell ref="AJ14:AJ16"/>
    <mergeCell ref="AK14:AK16"/>
    <mergeCell ref="AL14:AL16"/>
    <mergeCell ref="AC14:AC16"/>
    <mergeCell ref="AD14:AD16"/>
    <mergeCell ref="AE14:AE16"/>
    <mergeCell ref="AF14:AF16"/>
    <mergeCell ref="AG14:AG16"/>
    <mergeCell ref="AR14:AR16"/>
    <mergeCell ref="AS14:AS16"/>
    <mergeCell ref="AT14:AT16"/>
    <mergeCell ref="AU14:AU16"/>
    <mergeCell ref="AV14:AV16"/>
    <mergeCell ref="AM14:AM16"/>
    <mergeCell ref="AO14:AO16"/>
    <mergeCell ref="AN14:AN16"/>
    <mergeCell ref="AP14:AP16"/>
    <mergeCell ref="AQ14:AQ16"/>
    <mergeCell ref="BC14:BC16"/>
    <mergeCell ref="BD14:BD16"/>
    <mergeCell ref="BE14:BE16"/>
    <mergeCell ref="BF14:BF16"/>
    <mergeCell ref="BG14:BG16"/>
    <mergeCell ref="AX14:AX16"/>
    <mergeCell ref="AW14:AW16"/>
    <mergeCell ref="AY14:AY16"/>
    <mergeCell ref="BA14:BA16"/>
    <mergeCell ref="BB14:BB16"/>
    <mergeCell ref="AZ14:AZ16"/>
    <mergeCell ref="BM14:BM16"/>
    <mergeCell ref="BN14:BN16"/>
    <mergeCell ref="BW14:BW16"/>
    <mergeCell ref="BX14:BX16"/>
    <mergeCell ref="BY14:BY16"/>
    <mergeCell ref="BH14:BH16"/>
    <mergeCell ref="BI14:BI16"/>
    <mergeCell ref="BJ14:BJ16"/>
    <mergeCell ref="BK14:BK16"/>
    <mergeCell ref="BL14:BL16"/>
  </mergeCells>
  <pageMargins left="0.7" right="0.7" top="0.75" bottom="0.75" header="0.3" footer="0.3"/>
  <pageSetup paperSize="9" scale="17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activeCell="H1" sqref="H1:H3"/>
    </sheetView>
  </sheetViews>
  <sheetFormatPr baseColWidth="10" defaultRowHeight="15" x14ac:dyDescent="0.25"/>
  <cols>
    <col min="1" max="1" width="11.42578125" style="53" customWidth="1"/>
    <col min="2" max="2" width="14.85546875" style="53" customWidth="1"/>
    <col min="3" max="3" width="11.42578125" style="53"/>
    <col min="4" max="4" width="17.85546875" style="53" customWidth="1"/>
    <col min="5" max="5" width="15.5703125" style="53" customWidth="1"/>
    <col min="6" max="6" width="33.85546875" style="53" customWidth="1"/>
    <col min="7" max="7" width="11.42578125" style="53"/>
    <col min="8" max="8" width="16.85546875" style="53" customWidth="1"/>
    <col min="9" max="9" width="48.28515625" style="53" customWidth="1"/>
    <col min="10" max="17" width="11.42578125" style="53"/>
    <col min="18" max="18" width="15.140625" style="53" bestFit="1" customWidth="1"/>
    <col min="19" max="19" width="16.28515625" style="53" bestFit="1" customWidth="1"/>
    <col min="20" max="20" width="14.7109375" style="53" bestFit="1" customWidth="1"/>
    <col min="21" max="21" width="11.42578125" style="53"/>
    <col min="22" max="22" width="14.7109375" style="53" bestFit="1" customWidth="1"/>
    <col min="23" max="23" width="11.42578125" style="53"/>
    <col min="24" max="24" width="14.7109375" style="53" bestFit="1" customWidth="1"/>
    <col min="25" max="25" width="11.42578125" style="53"/>
    <col min="26" max="26" width="14.7109375" style="53" bestFit="1" customWidth="1"/>
    <col min="27" max="27" width="11.42578125" style="53"/>
    <col min="28" max="28" width="13.7109375" style="53" bestFit="1" customWidth="1"/>
    <col min="29" max="38" width="11.42578125" style="53"/>
    <col min="39" max="39" width="10" style="53" customWidth="1"/>
    <col min="40" max="40" width="13.42578125" style="53" customWidth="1"/>
    <col min="41" max="41" width="12.85546875" style="53" customWidth="1"/>
    <col min="42" max="42" width="13.28515625" style="53" customWidth="1"/>
    <col min="43" max="16384" width="11.42578125" style="53"/>
  </cols>
  <sheetData>
    <row r="1" spans="1:42" ht="15" customHeight="1" x14ac:dyDescent="0.25">
      <c r="A1" s="660" t="s">
        <v>0</v>
      </c>
      <c r="B1" s="661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351"/>
      <c r="K1" s="661" t="s">
        <v>10</v>
      </c>
      <c r="L1" s="661"/>
      <c r="M1" s="661"/>
      <c r="N1" s="661"/>
      <c r="O1" s="661"/>
      <c r="P1" s="661"/>
      <c r="Q1" s="661"/>
      <c r="R1" s="668" t="s">
        <v>11</v>
      </c>
      <c r="S1" s="666" t="s">
        <v>12</v>
      </c>
      <c r="T1" s="660" t="s">
        <v>13</v>
      </c>
      <c r="U1" s="661"/>
      <c r="V1" s="661"/>
      <c r="W1" s="661"/>
      <c r="X1" s="661"/>
      <c r="Y1" s="661"/>
      <c r="Z1" s="661"/>
      <c r="AA1" s="662"/>
      <c r="AB1" s="654" t="s">
        <v>14</v>
      </c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  <c r="AN1" s="654" t="s">
        <v>15</v>
      </c>
      <c r="AO1" s="655"/>
      <c r="AP1" s="656"/>
    </row>
    <row r="2" spans="1:42" x14ac:dyDescent="0.25">
      <c r="A2" s="648"/>
      <c r="B2" s="649"/>
      <c r="C2" s="649"/>
      <c r="D2" s="649"/>
      <c r="E2" s="649"/>
      <c r="F2" s="649"/>
      <c r="G2" s="649"/>
      <c r="H2" s="649"/>
      <c r="I2" s="653"/>
      <c r="J2" s="648">
        <v>2012</v>
      </c>
      <c r="K2" s="649"/>
      <c r="L2" s="649">
        <v>2013</v>
      </c>
      <c r="M2" s="649"/>
      <c r="N2" s="649">
        <v>2014</v>
      </c>
      <c r="O2" s="649"/>
      <c r="P2" s="649">
        <v>2015</v>
      </c>
      <c r="Q2" s="649"/>
      <c r="R2" s="669"/>
      <c r="S2" s="667"/>
      <c r="T2" s="648">
        <v>2012</v>
      </c>
      <c r="U2" s="649"/>
      <c r="V2" s="649">
        <v>2013</v>
      </c>
      <c r="W2" s="649"/>
      <c r="X2" s="649">
        <v>2014</v>
      </c>
      <c r="Y2" s="649"/>
      <c r="Z2" s="649">
        <v>2015</v>
      </c>
      <c r="AA2" s="653"/>
      <c r="AB2" s="648" t="s">
        <v>16</v>
      </c>
      <c r="AC2" s="649"/>
      <c r="AD2" s="650" t="s">
        <v>17</v>
      </c>
      <c r="AE2" s="651"/>
      <c r="AF2" s="652"/>
      <c r="AG2" s="649" t="s">
        <v>18</v>
      </c>
      <c r="AH2" s="649"/>
      <c r="AI2" s="670" t="s">
        <v>19</v>
      </c>
      <c r="AJ2" s="671"/>
      <c r="AK2" s="649" t="s">
        <v>20</v>
      </c>
      <c r="AL2" s="649"/>
      <c r="AM2" s="653"/>
      <c r="AN2" s="657"/>
      <c r="AO2" s="658"/>
      <c r="AP2" s="659"/>
    </row>
    <row r="3" spans="1:42" ht="15.75" thickBot="1" x14ac:dyDescent="0.3">
      <c r="A3" s="677"/>
      <c r="B3" s="678"/>
      <c r="C3" s="678"/>
      <c r="D3" s="678"/>
      <c r="E3" s="678"/>
      <c r="F3" s="678"/>
      <c r="G3" s="678"/>
      <c r="H3" s="678"/>
      <c r="I3" s="680"/>
      <c r="J3" s="352" t="s">
        <v>21</v>
      </c>
      <c r="K3" s="353" t="s">
        <v>22</v>
      </c>
      <c r="L3" s="353" t="s">
        <v>21</v>
      </c>
      <c r="M3" s="353" t="s">
        <v>22</v>
      </c>
      <c r="N3" s="353" t="s">
        <v>21</v>
      </c>
      <c r="O3" s="353" t="s">
        <v>22</v>
      </c>
      <c r="P3" s="353" t="s">
        <v>21</v>
      </c>
      <c r="Q3" s="353" t="s">
        <v>22</v>
      </c>
      <c r="R3" s="669"/>
      <c r="S3" s="667"/>
      <c r="T3" s="352" t="s">
        <v>23</v>
      </c>
      <c r="U3" s="353" t="s">
        <v>22</v>
      </c>
      <c r="V3" s="353" t="s">
        <v>23</v>
      </c>
      <c r="W3" s="353" t="s">
        <v>22</v>
      </c>
      <c r="X3" s="353" t="s">
        <v>23</v>
      </c>
      <c r="Y3" s="353" t="s">
        <v>22</v>
      </c>
      <c r="Z3" s="353" t="s">
        <v>23</v>
      </c>
      <c r="AA3" s="354" t="s">
        <v>22</v>
      </c>
      <c r="AB3" s="352" t="s">
        <v>23</v>
      </c>
      <c r="AC3" s="353" t="s">
        <v>22</v>
      </c>
      <c r="AD3" s="353" t="s">
        <v>23</v>
      </c>
      <c r="AE3" s="353" t="s">
        <v>22</v>
      </c>
      <c r="AF3" s="353" t="s">
        <v>24</v>
      </c>
      <c r="AG3" s="353" t="s">
        <v>23</v>
      </c>
      <c r="AH3" s="353" t="s">
        <v>22</v>
      </c>
      <c r="AI3" s="59" t="s">
        <v>23</v>
      </c>
      <c r="AJ3" s="59" t="s">
        <v>22</v>
      </c>
      <c r="AK3" s="359" t="s">
        <v>23</v>
      </c>
      <c r="AL3" s="353" t="s">
        <v>22</v>
      </c>
      <c r="AM3" s="79" t="s">
        <v>25</v>
      </c>
      <c r="AN3" s="350" t="s">
        <v>109</v>
      </c>
      <c r="AO3" s="350" t="s">
        <v>113</v>
      </c>
      <c r="AP3" s="350" t="s">
        <v>111</v>
      </c>
    </row>
    <row r="4" spans="1:42" ht="112.5" customHeight="1" thickBot="1" x14ac:dyDescent="0.3">
      <c r="A4" s="284"/>
      <c r="B4" s="285"/>
      <c r="C4" s="269"/>
      <c r="D4" s="931" t="s">
        <v>615</v>
      </c>
      <c r="E4" s="931" t="s">
        <v>616</v>
      </c>
      <c r="F4" s="408" t="s">
        <v>617</v>
      </c>
      <c r="G4" s="280" t="s">
        <v>622</v>
      </c>
      <c r="H4" s="258" t="s">
        <v>623</v>
      </c>
      <c r="I4" s="279" t="s">
        <v>624</v>
      </c>
      <c r="J4" s="409">
        <v>3</v>
      </c>
      <c r="K4" s="410">
        <v>0.25</v>
      </c>
      <c r="L4" s="409">
        <v>2</v>
      </c>
      <c r="M4" s="410">
        <v>0.25</v>
      </c>
      <c r="N4" s="409">
        <v>1</v>
      </c>
      <c r="O4" s="410">
        <v>0.25</v>
      </c>
      <c r="P4" s="409">
        <v>2</v>
      </c>
      <c r="Q4" s="410">
        <v>2.5499999999999998</v>
      </c>
      <c r="R4" s="411">
        <v>8</v>
      </c>
      <c r="S4" s="412">
        <v>45000000</v>
      </c>
      <c r="T4" s="329">
        <v>10000000</v>
      </c>
      <c r="U4" s="410">
        <v>0.25</v>
      </c>
      <c r="V4" s="329">
        <v>12000000</v>
      </c>
      <c r="W4" s="410">
        <v>0.25</v>
      </c>
      <c r="X4" s="329">
        <v>13000000</v>
      </c>
      <c r="Y4" s="410">
        <v>0.25</v>
      </c>
      <c r="Z4" s="329">
        <v>15000000</v>
      </c>
      <c r="AA4" s="410">
        <v>0.25</v>
      </c>
      <c r="AB4" s="329">
        <v>30000000</v>
      </c>
      <c r="AC4" s="65"/>
      <c r="AD4" s="68"/>
      <c r="AE4" s="65"/>
      <c r="AF4" s="63"/>
      <c r="AG4" s="367">
        <v>9000000</v>
      </c>
      <c r="AH4" s="63"/>
      <c r="AI4" s="69"/>
      <c r="AJ4" s="70"/>
      <c r="AK4" s="367">
        <v>9100000</v>
      </c>
      <c r="AL4" s="63"/>
      <c r="AM4" s="367" t="s">
        <v>966</v>
      </c>
      <c r="AN4" s="413" t="s">
        <v>967</v>
      </c>
      <c r="AO4" s="414" t="s">
        <v>26</v>
      </c>
      <c r="AP4" s="413" t="s">
        <v>968</v>
      </c>
    </row>
    <row r="5" spans="1:42" ht="60.75" thickBot="1" x14ac:dyDescent="0.3">
      <c r="A5" s="270"/>
      <c r="B5" s="270"/>
      <c r="C5" s="262"/>
      <c r="D5" s="932"/>
      <c r="E5" s="932"/>
      <c r="F5" s="408" t="s">
        <v>618</v>
      </c>
      <c r="G5" s="281"/>
      <c r="H5" s="281"/>
      <c r="I5" s="281"/>
      <c r="J5" s="409">
        <v>1</v>
      </c>
      <c r="K5" s="410">
        <v>1</v>
      </c>
      <c r="L5" s="409">
        <v>1</v>
      </c>
      <c r="M5" s="410">
        <v>1</v>
      </c>
      <c r="N5" s="409">
        <v>1</v>
      </c>
      <c r="O5" s="410">
        <v>1</v>
      </c>
      <c r="P5" s="409">
        <v>1</v>
      </c>
      <c r="Q5" s="410">
        <v>1</v>
      </c>
      <c r="R5" s="411">
        <v>4</v>
      </c>
      <c r="S5" s="412">
        <v>2400000</v>
      </c>
      <c r="T5" s="329">
        <v>450000</v>
      </c>
      <c r="U5" s="410">
        <v>1</v>
      </c>
      <c r="V5" s="329">
        <v>500000</v>
      </c>
      <c r="W5" s="410">
        <v>1</v>
      </c>
      <c r="X5" s="329">
        <v>800000</v>
      </c>
      <c r="Y5" s="410">
        <v>0.25</v>
      </c>
      <c r="Z5" s="329">
        <v>650000</v>
      </c>
      <c r="AA5" s="410">
        <v>0.25</v>
      </c>
      <c r="AB5" s="329">
        <v>1400000</v>
      </c>
      <c r="AC5" s="65"/>
      <c r="AD5" s="68"/>
      <c r="AE5" s="65"/>
      <c r="AF5" s="63"/>
      <c r="AG5" s="63"/>
      <c r="AH5" s="68"/>
      <c r="AI5" s="69"/>
      <c r="AJ5" s="70"/>
      <c r="AK5" s="367">
        <v>1000000</v>
      </c>
      <c r="AL5" s="63"/>
      <c r="AM5" s="367" t="s">
        <v>969</v>
      </c>
      <c r="AN5" s="413" t="s">
        <v>967</v>
      </c>
      <c r="AO5" s="414" t="s">
        <v>26</v>
      </c>
      <c r="AP5" s="367" t="s">
        <v>970</v>
      </c>
    </row>
    <row r="6" spans="1:42" ht="119.25" customHeight="1" thickBot="1" x14ac:dyDescent="0.3">
      <c r="A6" s="366" t="s">
        <v>26</v>
      </c>
      <c r="B6" s="366" t="s">
        <v>665</v>
      </c>
      <c r="C6" s="366" t="s">
        <v>666</v>
      </c>
      <c r="D6" s="931" t="s">
        <v>619</v>
      </c>
      <c r="E6" s="931" t="s">
        <v>620</v>
      </c>
      <c r="F6" s="415" t="s">
        <v>621</v>
      </c>
      <c r="G6" s="416">
        <v>0</v>
      </c>
      <c r="H6" s="415" t="s">
        <v>625</v>
      </c>
      <c r="I6" s="258" t="s">
        <v>626</v>
      </c>
      <c r="J6" s="409"/>
      <c r="K6" s="410"/>
      <c r="L6" s="409">
        <v>1</v>
      </c>
      <c r="M6" s="410">
        <v>1</v>
      </c>
      <c r="N6" s="409"/>
      <c r="O6" s="410"/>
      <c r="P6" s="409"/>
      <c r="Q6" s="410"/>
      <c r="R6" s="411">
        <v>1</v>
      </c>
      <c r="S6" s="412">
        <v>210000000</v>
      </c>
      <c r="T6" s="68"/>
      <c r="U6" s="65"/>
      <c r="V6" s="329">
        <v>105000000</v>
      </c>
      <c r="W6" s="410">
        <v>0.5</v>
      </c>
      <c r="X6" s="329">
        <v>52500000</v>
      </c>
      <c r="Y6" s="410">
        <v>7.55</v>
      </c>
      <c r="Z6" s="329">
        <v>52500000</v>
      </c>
      <c r="AA6" s="410">
        <v>1</v>
      </c>
      <c r="AB6" s="68"/>
      <c r="AC6" s="65"/>
      <c r="AD6" s="68"/>
      <c r="AE6" s="65"/>
      <c r="AF6" s="63"/>
      <c r="AG6" s="63"/>
      <c r="AH6" s="63"/>
      <c r="AI6" s="71"/>
      <c r="AJ6" s="70"/>
      <c r="AK6" s="63"/>
      <c r="AL6" s="63"/>
      <c r="AM6" s="367" t="s">
        <v>971</v>
      </c>
      <c r="AN6" s="413" t="s">
        <v>967</v>
      </c>
      <c r="AO6" s="414" t="s">
        <v>26</v>
      </c>
      <c r="AP6" s="367" t="s">
        <v>972</v>
      </c>
    </row>
    <row r="7" spans="1:42" ht="84.75" thickBot="1" x14ac:dyDescent="0.3">
      <c r="A7" s="269"/>
      <c r="B7" s="269"/>
      <c r="C7" s="269"/>
      <c r="D7" s="933"/>
      <c r="E7" s="933"/>
      <c r="F7" s="417" t="s">
        <v>973</v>
      </c>
      <c r="G7" s="416">
        <v>55</v>
      </c>
      <c r="H7" s="415" t="s">
        <v>627</v>
      </c>
      <c r="I7" s="258" t="s">
        <v>628</v>
      </c>
      <c r="J7" s="409">
        <v>2</v>
      </c>
      <c r="K7" s="410"/>
      <c r="L7" s="409">
        <v>3</v>
      </c>
      <c r="M7" s="410"/>
      <c r="N7" s="409">
        <v>6</v>
      </c>
      <c r="O7" s="410"/>
      <c r="P7" s="409">
        <v>3</v>
      </c>
      <c r="Q7" s="410"/>
      <c r="R7" s="411">
        <v>14</v>
      </c>
      <c r="S7" s="412">
        <v>1500000000</v>
      </c>
      <c r="T7" s="329">
        <v>200000000</v>
      </c>
      <c r="U7" s="65"/>
      <c r="V7" s="329">
        <v>600000000</v>
      </c>
      <c r="W7" s="65"/>
      <c r="X7" s="329">
        <v>400000000</v>
      </c>
      <c r="Y7" s="65"/>
      <c r="Z7" s="329">
        <v>300000000</v>
      </c>
      <c r="AA7" s="65"/>
      <c r="AB7" s="329">
        <v>91000000</v>
      </c>
      <c r="AC7" s="65"/>
      <c r="AD7" s="68"/>
      <c r="AE7" s="65"/>
      <c r="AF7" s="63"/>
      <c r="AG7" s="367">
        <v>120900000</v>
      </c>
      <c r="AH7" s="63"/>
      <c r="AI7" s="69"/>
      <c r="AJ7" s="70"/>
      <c r="AK7" s="63"/>
      <c r="AL7" s="63"/>
      <c r="AM7" s="63"/>
      <c r="AN7" s="413" t="s">
        <v>967</v>
      </c>
      <c r="AO7" s="414" t="s">
        <v>26</v>
      </c>
      <c r="AP7" s="367" t="s">
        <v>974</v>
      </c>
    </row>
    <row r="8" spans="1:42" ht="96.75" customHeight="1" thickBot="1" x14ac:dyDescent="0.3">
      <c r="A8" s="270"/>
      <c r="B8" s="270"/>
      <c r="C8" s="262"/>
      <c r="D8" s="934" t="s">
        <v>629</v>
      </c>
      <c r="E8" s="934" t="s">
        <v>630</v>
      </c>
      <c r="F8" s="417" t="s">
        <v>975</v>
      </c>
      <c r="G8" s="415">
        <v>24</v>
      </c>
      <c r="H8" s="415" t="s">
        <v>631</v>
      </c>
      <c r="I8" s="258" t="s">
        <v>632</v>
      </c>
      <c r="J8" s="409"/>
      <c r="K8" s="418"/>
      <c r="L8" s="419"/>
      <c r="M8" s="410"/>
      <c r="N8" s="409"/>
      <c r="O8" s="410"/>
      <c r="P8" s="409"/>
      <c r="Q8" s="410"/>
      <c r="R8" s="66"/>
      <c r="S8" s="412">
        <v>60000000</v>
      </c>
      <c r="T8" s="329">
        <v>15000000</v>
      </c>
      <c r="U8" s="65"/>
      <c r="V8" s="329">
        <v>15000000</v>
      </c>
      <c r="W8" s="65"/>
      <c r="X8" s="329">
        <v>15000000</v>
      </c>
      <c r="Y8" s="65"/>
      <c r="Z8" s="329">
        <v>15000000</v>
      </c>
      <c r="AA8" s="65"/>
      <c r="AB8" s="68"/>
      <c r="AC8" s="65"/>
      <c r="AD8" s="68"/>
      <c r="AE8" s="65"/>
      <c r="AF8" s="63"/>
      <c r="AG8" s="63"/>
      <c r="AH8" s="63"/>
      <c r="AI8" s="71"/>
      <c r="AJ8" s="70"/>
      <c r="AK8" s="63"/>
      <c r="AL8" s="63"/>
      <c r="AM8" s="63"/>
      <c r="AN8" s="413" t="s">
        <v>967</v>
      </c>
      <c r="AO8" s="414" t="s">
        <v>26</v>
      </c>
      <c r="AP8" s="367" t="s">
        <v>974</v>
      </c>
    </row>
    <row r="9" spans="1:42" ht="104.25" customHeight="1" thickBot="1" x14ac:dyDescent="0.3">
      <c r="A9" s="270"/>
      <c r="B9" s="270"/>
      <c r="C9" s="262"/>
      <c r="D9" s="935"/>
      <c r="E9" s="932"/>
      <c r="F9" s="415" t="s">
        <v>633</v>
      </c>
      <c r="G9" s="415" t="s">
        <v>634</v>
      </c>
      <c r="H9" s="415" t="s">
        <v>635</v>
      </c>
      <c r="I9" s="258" t="s">
        <v>636</v>
      </c>
      <c r="J9" s="409"/>
      <c r="K9" s="410"/>
      <c r="L9" s="409"/>
      <c r="M9" s="410"/>
      <c r="N9" s="409"/>
      <c r="O9" s="410"/>
      <c r="P9" s="64"/>
      <c r="Q9" s="410"/>
      <c r="R9" s="66"/>
      <c r="S9" s="412">
        <v>60000000</v>
      </c>
      <c r="T9" s="329">
        <v>10000000</v>
      </c>
      <c r="U9" s="65"/>
      <c r="V9" s="329">
        <v>15000000</v>
      </c>
      <c r="W9" s="65"/>
      <c r="X9" s="329">
        <v>15000000</v>
      </c>
      <c r="Y9" s="65"/>
      <c r="Z9" s="329">
        <v>20000000</v>
      </c>
      <c r="AA9" s="65"/>
      <c r="AB9" s="68"/>
      <c r="AC9" s="65"/>
      <c r="AD9" s="68"/>
      <c r="AE9" s="65"/>
      <c r="AF9" s="63"/>
      <c r="AG9" s="63"/>
      <c r="AH9" s="63"/>
      <c r="AI9" s="71"/>
      <c r="AJ9" s="70"/>
      <c r="AK9" s="63"/>
      <c r="AL9" s="63"/>
      <c r="AM9" s="63"/>
      <c r="AN9" s="413" t="s">
        <v>967</v>
      </c>
      <c r="AO9" s="414" t="s">
        <v>26</v>
      </c>
      <c r="AP9" s="367" t="s">
        <v>974</v>
      </c>
    </row>
    <row r="10" spans="1:42" ht="84.75" thickBot="1" x14ac:dyDescent="0.3">
      <c r="A10" s="270"/>
      <c r="B10" s="270"/>
      <c r="C10" s="262"/>
      <c r="D10" s="935"/>
      <c r="E10" s="936" t="s">
        <v>637</v>
      </c>
      <c r="F10" s="416" t="s">
        <v>638</v>
      </c>
      <c r="G10" s="416">
        <v>1</v>
      </c>
      <c r="H10" s="415" t="s">
        <v>639</v>
      </c>
      <c r="I10" s="258" t="s">
        <v>640</v>
      </c>
      <c r="J10" s="409"/>
      <c r="K10" s="410"/>
      <c r="L10" s="409"/>
      <c r="M10" s="410"/>
      <c r="N10" s="409"/>
      <c r="O10" s="410"/>
      <c r="P10" s="409"/>
      <c r="Q10" s="410"/>
      <c r="R10" s="66"/>
      <c r="S10" s="412">
        <v>18000000</v>
      </c>
      <c r="T10" s="329">
        <v>3500000</v>
      </c>
      <c r="U10" s="65"/>
      <c r="V10" s="329">
        <v>4500000</v>
      </c>
      <c r="W10" s="65"/>
      <c r="X10" s="329">
        <v>5000000</v>
      </c>
      <c r="Y10" s="65"/>
      <c r="Z10" s="329">
        <v>5000000</v>
      </c>
      <c r="AA10" s="65"/>
      <c r="AB10" s="68"/>
      <c r="AC10" s="65"/>
      <c r="AD10" s="68"/>
      <c r="AE10" s="65"/>
      <c r="AF10" s="63"/>
      <c r="AG10" s="63"/>
      <c r="AH10" s="63"/>
      <c r="AI10" s="69"/>
      <c r="AJ10" s="70"/>
      <c r="AK10" s="63"/>
      <c r="AL10" s="63"/>
      <c r="AM10" s="63"/>
      <c r="AN10" s="413" t="s">
        <v>967</v>
      </c>
      <c r="AO10" s="414" t="s">
        <v>26</v>
      </c>
      <c r="AP10" s="367" t="s">
        <v>974</v>
      </c>
    </row>
    <row r="11" spans="1:42" ht="96.75" customHeight="1" thickBot="1" x14ac:dyDescent="0.3">
      <c r="A11" s="246"/>
      <c r="B11" s="246"/>
      <c r="C11" s="263"/>
      <c r="D11" s="935"/>
      <c r="E11" s="937"/>
      <c r="F11" s="415" t="s">
        <v>641</v>
      </c>
      <c r="G11" s="416">
        <v>450</v>
      </c>
      <c r="H11" s="415" t="s">
        <v>642</v>
      </c>
      <c r="I11" s="258" t="s">
        <v>643</v>
      </c>
      <c r="J11" s="420"/>
      <c r="K11" s="421"/>
      <c r="L11" s="420"/>
      <c r="M11" s="421"/>
      <c r="N11" s="420"/>
      <c r="O11" s="421"/>
      <c r="P11" s="420"/>
      <c r="Q11" s="421"/>
      <c r="R11" s="61"/>
      <c r="S11" s="422">
        <v>10000000</v>
      </c>
      <c r="T11" s="422">
        <v>1500000</v>
      </c>
      <c r="U11" s="61"/>
      <c r="V11" s="422">
        <v>2500000</v>
      </c>
      <c r="W11" s="61"/>
      <c r="X11" s="422">
        <v>3000000</v>
      </c>
      <c r="Y11" s="61"/>
      <c r="Z11" s="422">
        <v>3000000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413" t="s">
        <v>967</v>
      </c>
      <c r="AO11" s="414" t="s">
        <v>26</v>
      </c>
      <c r="AP11" s="61" t="s">
        <v>974</v>
      </c>
    </row>
    <row r="12" spans="1:42" ht="48.75" thickBot="1" x14ac:dyDescent="0.3">
      <c r="A12" s="246"/>
      <c r="B12" s="246"/>
      <c r="C12" s="263"/>
      <c r="D12" s="932"/>
      <c r="E12" s="938"/>
      <c r="F12" s="283" t="s">
        <v>644</v>
      </c>
      <c r="G12" s="282">
        <v>60</v>
      </c>
      <c r="H12" s="258" t="s">
        <v>645</v>
      </c>
      <c r="I12" s="282" t="s">
        <v>646</v>
      </c>
      <c r="J12" s="420"/>
      <c r="K12" s="421"/>
      <c r="L12" s="420"/>
      <c r="M12" s="421"/>
      <c r="N12" s="420"/>
      <c r="O12" s="421"/>
      <c r="P12" s="420"/>
      <c r="Q12" s="421"/>
      <c r="R12" s="61"/>
      <c r="S12" s="422">
        <v>5000000</v>
      </c>
      <c r="T12" s="422">
        <v>1100000</v>
      </c>
      <c r="U12" s="61"/>
      <c r="V12" s="422">
        <v>1200000</v>
      </c>
      <c r="W12" s="61"/>
      <c r="X12" s="422">
        <v>1300000</v>
      </c>
      <c r="Y12" s="61"/>
      <c r="Z12" s="422">
        <v>1400000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413" t="s">
        <v>967</v>
      </c>
      <c r="AO12" s="414" t="s">
        <v>26</v>
      </c>
      <c r="AP12" s="61" t="s">
        <v>974</v>
      </c>
    </row>
    <row r="13" spans="1:42" ht="111.75" customHeight="1" thickBot="1" x14ac:dyDescent="0.3">
      <c r="A13" s="246"/>
      <c r="B13" s="246"/>
      <c r="C13" s="263"/>
      <c r="D13" s="931" t="s">
        <v>647</v>
      </c>
      <c r="E13" s="887" t="s">
        <v>648</v>
      </c>
      <c r="F13" s="300" t="s">
        <v>649</v>
      </c>
      <c r="G13" s="370" t="s">
        <v>653</v>
      </c>
      <c r="H13" s="370" t="s">
        <v>654</v>
      </c>
      <c r="I13" s="370" t="s">
        <v>655</v>
      </c>
      <c r="J13" s="420"/>
      <c r="K13" s="421"/>
      <c r="L13" s="420"/>
      <c r="M13" s="421"/>
      <c r="N13" s="420"/>
      <c r="O13" s="421"/>
      <c r="P13" s="420"/>
      <c r="Q13" s="421"/>
      <c r="R13" s="423"/>
      <c r="S13" s="422">
        <v>150000000</v>
      </c>
      <c r="T13" s="422">
        <v>35000000</v>
      </c>
      <c r="U13" s="61"/>
      <c r="V13" s="422">
        <v>35000000</v>
      </c>
      <c r="W13" s="61"/>
      <c r="X13" s="422">
        <v>40000000</v>
      </c>
      <c r="Y13" s="61"/>
      <c r="Z13" s="422">
        <v>40000000</v>
      </c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413" t="s">
        <v>967</v>
      </c>
      <c r="AO13" s="413" t="s">
        <v>26</v>
      </c>
      <c r="AP13" s="61" t="s">
        <v>974</v>
      </c>
    </row>
    <row r="14" spans="1:42" ht="48.75" customHeight="1" thickBot="1" x14ac:dyDescent="0.3">
      <c r="A14" s="246"/>
      <c r="B14" s="246"/>
      <c r="C14" s="263"/>
      <c r="D14" s="935"/>
      <c r="E14" s="888"/>
      <c r="F14" s="424" t="s">
        <v>650</v>
      </c>
      <c r="G14" s="424" t="s">
        <v>656</v>
      </c>
      <c r="H14" s="424" t="s">
        <v>657</v>
      </c>
      <c r="I14" s="424" t="s">
        <v>658</v>
      </c>
      <c r="J14" s="420">
        <v>3100</v>
      </c>
      <c r="K14" s="421"/>
      <c r="L14" s="420">
        <v>3200</v>
      </c>
      <c r="M14" s="421"/>
      <c r="N14" s="420">
        <v>3300</v>
      </c>
      <c r="O14" s="421"/>
      <c r="P14" s="420">
        <v>3600</v>
      </c>
      <c r="Q14" s="425"/>
      <c r="R14" s="422">
        <v>317800000</v>
      </c>
      <c r="S14" s="422">
        <v>317800000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413" t="s">
        <v>967</v>
      </c>
      <c r="AO14" s="414" t="s">
        <v>26</v>
      </c>
      <c r="AP14" s="61" t="s">
        <v>974</v>
      </c>
    </row>
    <row r="15" spans="1:42" ht="84.75" thickBot="1" x14ac:dyDescent="0.3">
      <c r="A15" s="270"/>
      <c r="B15" s="270"/>
      <c r="C15" s="262"/>
      <c r="D15" s="935"/>
      <c r="E15" s="888"/>
      <c r="F15" s="426" t="s">
        <v>651</v>
      </c>
      <c r="G15" s="424" t="s">
        <v>659</v>
      </c>
      <c r="H15" s="424" t="s">
        <v>660</v>
      </c>
      <c r="I15" s="424" t="s">
        <v>661</v>
      </c>
      <c r="J15" s="409"/>
      <c r="K15" s="410"/>
      <c r="L15" s="409"/>
      <c r="M15" s="410"/>
      <c r="N15" s="409"/>
      <c r="O15" s="410"/>
      <c r="P15" s="409"/>
      <c r="Q15" s="410"/>
      <c r="R15" s="411">
        <v>55000000</v>
      </c>
      <c r="S15" s="412">
        <v>55000000</v>
      </c>
      <c r="T15" s="329">
        <v>10000000</v>
      </c>
      <c r="U15" s="65"/>
      <c r="V15" s="329">
        <v>12000000</v>
      </c>
      <c r="W15" s="65"/>
      <c r="X15" s="329">
        <v>15000000</v>
      </c>
      <c r="Y15" s="65"/>
      <c r="Z15" s="329">
        <v>18000000</v>
      </c>
      <c r="AA15" s="65"/>
      <c r="AB15" s="68"/>
      <c r="AC15" s="65"/>
      <c r="AD15" s="68"/>
      <c r="AE15" s="65"/>
      <c r="AF15" s="63"/>
      <c r="AG15" s="63"/>
      <c r="AH15" s="63"/>
      <c r="AI15" s="69"/>
      <c r="AJ15" s="70"/>
      <c r="AK15" s="63"/>
      <c r="AL15" s="63"/>
      <c r="AM15" s="63"/>
      <c r="AN15" s="413" t="s">
        <v>967</v>
      </c>
      <c r="AO15" s="414" t="s">
        <v>26</v>
      </c>
      <c r="AP15" s="367" t="s">
        <v>974</v>
      </c>
    </row>
    <row r="16" spans="1:42" ht="84.75" thickBot="1" x14ac:dyDescent="0.3">
      <c r="A16" s="260"/>
      <c r="B16" s="260"/>
      <c r="C16" s="261"/>
      <c r="D16" s="933"/>
      <c r="E16" s="930"/>
      <c r="F16" s="424" t="s">
        <v>652</v>
      </c>
      <c r="G16" s="424" t="s">
        <v>662</v>
      </c>
      <c r="H16" s="424" t="s">
        <v>663</v>
      </c>
      <c r="I16" s="424" t="s">
        <v>664</v>
      </c>
      <c r="J16" s="409"/>
      <c r="K16" s="410"/>
      <c r="L16" s="409"/>
      <c r="M16" s="410"/>
      <c r="N16" s="409"/>
      <c r="O16" s="410"/>
      <c r="P16" s="409"/>
      <c r="Q16" s="410"/>
      <c r="R16" s="411">
        <v>500000000</v>
      </c>
      <c r="S16" s="412">
        <v>500000000</v>
      </c>
      <c r="T16" s="329">
        <v>120000000</v>
      </c>
      <c r="U16" s="65"/>
      <c r="V16" s="329">
        <v>120000000</v>
      </c>
      <c r="W16" s="65"/>
      <c r="X16" s="329">
        <v>150000000</v>
      </c>
      <c r="Y16" s="65"/>
      <c r="Z16" s="329">
        <v>110000000</v>
      </c>
      <c r="AA16" s="65"/>
      <c r="AB16" s="68"/>
      <c r="AC16" s="65"/>
      <c r="AD16" s="68"/>
      <c r="AE16" s="65"/>
      <c r="AF16" s="63"/>
      <c r="AG16" s="63"/>
      <c r="AH16" s="68"/>
      <c r="AI16" s="69"/>
      <c r="AJ16" s="70"/>
      <c r="AK16" s="63"/>
      <c r="AL16" s="63"/>
      <c r="AM16" s="63"/>
      <c r="AN16" s="413" t="s">
        <v>967</v>
      </c>
      <c r="AO16" s="414" t="s">
        <v>26</v>
      </c>
      <c r="AP16" s="367" t="s">
        <v>974</v>
      </c>
    </row>
    <row r="17" spans="1:42" x14ac:dyDescent="0.25">
      <c r="A17" s="62"/>
      <c r="B17" s="62"/>
      <c r="C17" s="62"/>
      <c r="D17" s="62"/>
      <c r="E17" s="62"/>
      <c r="F17" s="62"/>
      <c r="G17" s="63"/>
      <c r="H17" s="63"/>
      <c r="I17" s="63"/>
      <c r="J17" s="64"/>
      <c r="K17" s="65"/>
      <c r="L17" s="64"/>
      <c r="M17" s="65"/>
      <c r="N17" s="64"/>
      <c r="O17" s="65"/>
      <c r="P17" s="64"/>
      <c r="Q17" s="65"/>
      <c r="R17" s="66"/>
      <c r="S17" s="67"/>
      <c r="T17" s="68"/>
      <c r="U17" s="65"/>
      <c r="V17" s="68"/>
      <c r="W17" s="65"/>
      <c r="X17" s="68"/>
      <c r="Y17" s="65"/>
      <c r="Z17" s="68"/>
      <c r="AA17" s="65"/>
      <c r="AB17" s="68"/>
      <c r="AC17" s="65"/>
      <c r="AD17" s="68"/>
      <c r="AE17" s="65"/>
      <c r="AF17" s="63"/>
      <c r="AG17" s="63"/>
      <c r="AH17" s="63"/>
      <c r="AI17" s="71"/>
      <c r="AJ17" s="70"/>
      <c r="AK17" s="63"/>
      <c r="AL17" s="63"/>
      <c r="AM17" s="63"/>
      <c r="AN17" s="62"/>
      <c r="AO17" s="62"/>
      <c r="AP17" s="62"/>
    </row>
    <row r="18" spans="1:42" x14ac:dyDescent="0.25">
      <c r="A18" s="62"/>
      <c r="B18" s="62"/>
      <c r="C18" s="62"/>
      <c r="D18" s="62"/>
      <c r="E18" s="62"/>
      <c r="F18" s="62"/>
      <c r="G18" s="63"/>
      <c r="H18" s="63"/>
      <c r="I18" s="63"/>
      <c r="J18" s="64"/>
      <c r="K18" s="65"/>
      <c r="L18" s="64"/>
      <c r="M18" s="65"/>
      <c r="N18" s="64"/>
      <c r="O18" s="65"/>
      <c r="P18" s="64"/>
      <c r="Q18" s="65"/>
      <c r="R18" s="66"/>
      <c r="S18" s="67"/>
      <c r="T18" s="68"/>
      <c r="U18" s="65"/>
      <c r="V18" s="68"/>
      <c r="W18" s="65"/>
      <c r="X18" s="68"/>
      <c r="Y18" s="65"/>
      <c r="Z18" s="68"/>
      <c r="AA18" s="65"/>
      <c r="AB18" s="68"/>
      <c r="AC18" s="65"/>
      <c r="AD18" s="68"/>
      <c r="AE18" s="65"/>
      <c r="AF18" s="63"/>
      <c r="AG18" s="63"/>
      <c r="AH18" s="63"/>
      <c r="AI18" s="69"/>
      <c r="AJ18" s="70"/>
      <c r="AK18" s="63"/>
      <c r="AL18" s="63"/>
      <c r="AM18" s="63"/>
      <c r="AN18" s="62"/>
      <c r="AO18" s="62"/>
      <c r="AP18" s="62"/>
    </row>
    <row r="19" spans="1:42" x14ac:dyDescent="0.25">
      <c r="A19" s="62"/>
      <c r="B19" s="62"/>
      <c r="C19" s="62"/>
      <c r="D19" s="62"/>
      <c r="E19" s="62"/>
      <c r="F19" s="62"/>
      <c r="G19" s="63"/>
      <c r="H19" s="63"/>
      <c r="I19" s="63"/>
      <c r="J19" s="64"/>
      <c r="K19" s="65"/>
      <c r="L19" s="64"/>
      <c r="M19" s="65"/>
      <c r="N19" s="64"/>
      <c r="O19" s="65"/>
      <c r="P19" s="64"/>
      <c r="Q19" s="65"/>
      <c r="R19" s="66"/>
      <c r="S19" s="67"/>
      <c r="T19" s="68"/>
      <c r="U19" s="65"/>
      <c r="V19" s="68"/>
      <c r="W19" s="65"/>
      <c r="X19" s="68"/>
      <c r="Y19" s="65"/>
      <c r="Z19" s="68"/>
      <c r="AA19" s="65"/>
      <c r="AB19" s="68"/>
      <c r="AC19" s="65"/>
      <c r="AD19" s="68"/>
      <c r="AE19" s="65"/>
      <c r="AF19" s="63"/>
      <c r="AG19" s="63"/>
      <c r="AH19" s="63"/>
      <c r="AI19" s="71"/>
      <c r="AJ19" s="70"/>
      <c r="AK19" s="63"/>
      <c r="AL19" s="63"/>
      <c r="AM19" s="63"/>
      <c r="AN19" s="62"/>
      <c r="AO19" s="62"/>
      <c r="AP19" s="62"/>
    </row>
    <row r="20" spans="1:42" x14ac:dyDescent="0.25">
      <c r="A20" s="62"/>
      <c r="B20" s="62"/>
      <c r="C20" s="62"/>
      <c r="D20" s="62"/>
      <c r="E20" s="62"/>
      <c r="F20" s="62"/>
      <c r="G20" s="63"/>
      <c r="H20" s="63"/>
      <c r="I20" s="63"/>
      <c r="J20" s="64"/>
      <c r="K20" s="65"/>
      <c r="L20" s="64"/>
      <c r="M20" s="65"/>
      <c r="N20" s="64"/>
      <c r="O20" s="65"/>
      <c r="P20" s="64"/>
      <c r="Q20" s="65"/>
      <c r="R20" s="66"/>
      <c r="S20" s="67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65"/>
      <c r="AF20" s="63"/>
      <c r="AG20" s="63"/>
      <c r="AH20" s="63"/>
      <c r="AI20" s="71"/>
      <c r="AJ20" s="70"/>
      <c r="AK20" s="63"/>
      <c r="AL20" s="63"/>
      <c r="AM20" s="63"/>
      <c r="AN20" s="62"/>
      <c r="AO20" s="62"/>
      <c r="AP20" s="62"/>
    </row>
    <row r="21" spans="1:42" x14ac:dyDescent="0.25">
      <c r="A21" s="62"/>
      <c r="B21" s="62"/>
      <c r="C21" s="62"/>
      <c r="D21" s="62"/>
      <c r="E21" s="62"/>
      <c r="F21" s="62"/>
      <c r="G21" s="63"/>
      <c r="H21" s="63"/>
      <c r="I21" s="63"/>
      <c r="J21" s="64"/>
      <c r="K21" s="65"/>
      <c r="L21" s="64"/>
      <c r="M21" s="65"/>
      <c r="N21" s="64"/>
      <c r="O21" s="65"/>
      <c r="P21" s="64"/>
      <c r="Q21" s="65"/>
      <c r="R21" s="66"/>
      <c r="S21" s="67"/>
      <c r="T21" s="68"/>
      <c r="U21" s="65"/>
      <c r="V21" s="68"/>
      <c r="W21" s="65"/>
      <c r="X21" s="68"/>
      <c r="Y21" s="65"/>
      <c r="Z21" s="68"/>
      <c r="AA21" s="65"/>
      <c r="AB21" s="68"/>
      <c r="AC21" s="65"/>
      <c r="AD21" s="68"/>
      <c r="AE21" s="65"/>
      <c r="AF21" s="63"/>
      <c r="AG21" s="63"/>
      <c r="AH21" s="63"/>
      <c r="AI21" s="69"/>
      <c r="AJ21" s="70"/>
      <c r="AK21" s="63"/>
      <c r="AL21" s="63"/>
      <c r="AM21" s="63"/>
      <c r="AN21" s="62"/>
      <c r="AO21" s="62"/>
      <c r="AP21" s="62"/>
    </row>
    <row r="22" spans="1:42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1:42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</row>
    <row r="24" spans="1:42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</row>
    <row r="25" spans="1:42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</sheetData>
  <mergeCells count="37">
    <mergeCell ref="E13:E16"/>
    <mergeCell ref="D4:D5"/>
    <mergeCell ref="E4:E5"/>
    <mergeCell ref="D6:D7"/>
    <mergeCell ref="E6:E7"/>
    <mergeCell ref="D8:D12"/>
    <mergeCell ref="E8:E9"/>
    <mergeCell ref="E10:E12"/>
    <mergeCell ref="D13:D16"/>
    <mergeCell ref="T1:AA1"/>
    <mergeCell ref="AB1:AM1"/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K1:Q1"/>
    <mergeCell ref="AN1:AP2"/>
    <mergeCell ref="J2:K2"/>
    <mergeCell ref="L2:M2"/>
    <mergeCell ref="N2:O2"/>
    <mergeCell ref="P2:Q2"/>
    <mergeCell ref="T2:U2"/>
    <mergeCell ref="V2:W2"/>
    <mergeCell ref="R1:R3"/>
    <mergeCell ref="AK2:AM2"/>
    <mergeCell ref="X2:Y2"/>
    <mergeCell ref="Z2:AA2"/>
    <mergeCell ref="AB2:AC2"/>
    <mergeCell ref="AD2:AF2"/>
    <mergeCell ref="AG2:AH2"/>
    <mergeCell ref="AI2:AJ2"/>
    <mergeCell ref="S1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opLeftCell="A7" workbookViewId="0">
      <selection activeCell="A10" sqref="A10"/>
    </sheetView>
  </sheetViews>
  <sheetFormatPr baseColWidth="10" defaultRowHeight="15" x14ac:dyDescent="0.25"/>
  <cols>
    <col min="1" max="1" width="16.42578125" style="53" customWidth="1"/>
    <col min="2" max="2" width="13.42578125" customWidth="1"/>
    <col min="3" max="3" width="20" customWidth="1"/>
    <col min="4" max="4" width="15.42578125" customWidth="1"/>
    <col min="5" max="5" width="18.5703125" customWidth="1"/>
    <col min="6" max="6" width="21" customWidth="1"/>
    <col min="7" max="7" width="12.42578125" customWidth="1"/>
    <col min="8" max="8" width="15.42578125" customWidth="1"/>
    <col min="9" max="9" width="12.42578125" customWidth="1"/>
    <col min="10" max="10" width="12.42578125" style="53" customWidth="1"/>
  </cols>
  <sheetData>
    <row r="1" spans="1:43" ht="15" customHeight="1" x14ac:dyDescent="0.25">
      <c r="A1" s="939" t="s">
        <v>0</v>
      </c>
      <c r="B1" s="800" t="s">
        <v>1</v>
      </c>
      <c r="C1" s="661" t="s">
        <v>2</v>
      </c>
      <c r="D1" s="661" t="s">
        <v>3</v>
      </c>
      <c r="E1" s="661" t="s">
        <v>4</v>
      </c>
      <c r="F1" s="661" t="s">
        <v>5</v>
      </c>
      <c r="G1" s="661" t="s">
        <v>7</v>
      </c>
      <c r="H1" s="661" t="s">
        <v>8</v>
      </c>
      <c r="I1" s="662" t="s">
        <v>9</v>
      </c>
      <c r="J1" s="539"/>
      <c r="K1" s="58"/>
      <c r="L1" s="661" t="s">
        <v>10</v>
      </c>
      <c r="M1" s="661"/>
      <c r="N1" s="661"/>
      <c r="O1" s="661"/>
      <c r="P1" s="661"/>
      <c r="Q1" s="661"/>
      <c r="R1" s="661"/>
      <c r="S1" s="668" t="s">
        <v>11</v>
      </c>
      <c r="T1" s="666" t="s">
        <v>12</v>
      </c>
      <c r="U1" s="660" t="s">
        <v>13</v>
      </c>
      <c r="V1" s="661"/>
      <c r="W1" s="661"/>
      <c r="X1" s="661"/>
      <c r="Y1" s="661"/>
      <c r="Z1" s="661"/>
      <c r="AA1" s="661"/>
      <c r="AB1" s="662"/>
      <c r="AC1" s="654" t="s">
        <v>14</v>
      </c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6"/>
      <c r="AO1" s="654" t="s">
        <v>15</v>
      </c>
      <c r="AP1" s="655"/>
      <c r="AQ1" s="656"/>
    </row>
    <row r="2" spans="1:43" x14ac:dyDescent="0.25">
      <c r="A2" s="940"/>
      <c r="B2" s="801"/>
      <c r="C2" s="649"/>
      <c r="D2" s="649"/>
      <c r="E2" s="649"/>
      <c r="F2" s="649"/>
      <c r="G2" s="649"/>
      <c r="H2" s="649"/>
      <c r="I2" s="653"/>
      <c r="J2" s="536"/>
      <c r="K2" s="648">
        <v>2012</v>
      </c>
      <c r="L2" s="649"/>
      <c r="M2" s="649">
        <v>2013</v>
      </c>
      <c r="N2" s="649"/>
      <c r="O2" s="649">
        <v>2014</v>
      </c>
      <c r="P2" s="649"/>
      <c r="Q2" s="649">
        <v>2015</v>
      </c>
      <c r="R2" s="649"/>
      <c r="S2" s="669"/>
      <c r="T2" s="667"/>
      <c r="U2" s="648">
        <v>2012</v>
      </c>
      <c r="V2" s="649"/>
      <c r="W2" s="649">
        <v>2013</v>
      </c>
      <c r="X2" s="649"/>
      <c r="Y2" s="649">
        <v>2014</v>
      </c>
      <c r="Z2" s="649"/>
      <c r="AA2" s="649">
        <v>2015</v>
      </c>
      <c r="AB2" s="653"/>
      <c r="AC2" s="648" t="s">
        <v>16</v>
      </c>
      <c r="AD2" s="649"/>
      <c r="AE2" s="650" t="s">
        <v>17</v>
      </c>
      <c r="AF2" s="651"/>
      <c r="AG2" s="652"/>
      <c r="AH2" s="649" t="s">
        <v>18</v>
      </c>
      <c r="AI2" s="649"/>
      <c r="AJ2" s="670" t="s">
        <v>19</v>
      </c>
      <c r="AK2" s="671"/>
      <c r="AL2" s="649" t="s">
        <v>20</v>
      </c>
      <c r="AM2" s="649"/>
      <c r="AN2" s="653"/>
      <c r="AO2" s="657"/>
      <c r="AP2" s="658"/>
      <c r="AQ2" s="659"/>
    </row>
    <row r="3" spans="1:43" ht="24" x14ac:dyDescent="0.25">
      <c r="A3" s="941"/>
      <c r="B3" s="890"/>
      <c r="C3" s="678"/>
      <c r="D3" s="678"/>
      <c r="E3" s="678"/>
      <c r="F3" s="678"/>
      <c r="G3" s="678"/>
      <c r="H3" s="678"/>
      <c r="I3" s="680"/>
      <c r="J3" s="544" t="s">
        <v>1168</v>
      </c>
      <c r="K3" s="56" t="s">
        <v>21</v>
      </c>
      <c r="L3" s="537" t="s">
        <v>22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  <c r="S3" s="669"/>
      <c r="T3" s="667"/>
      <c r="U3" s="56" t="s">
        <v>23</v>
      </c>
      <c r="V3" s="54" t="s">
        <v>22</v>
      </c>
      <c r="W3" s="54" t="s">
        <v>23</v>
      </c>
      <c r="X3" s="54" t="s">
        <v>22</v>
      </c>
      <c r="Y3" s="54" t="s">
        <v>23</v>
      </c>
      <c r="Z3" s="54" t="s">
        <v>22</v>
      </c>
      <c r="AA3" s="54" t="s">
        <v>23</v>
      </c>
      <c r="AB3" s="57" t="s">
        <v>22</v>
      </c>
      <c r="AC3" s="56" t="s">
        <v>23</v>
      </c>
      <c r="AD3" s="54" t="s">
        <v>22</v>
      </c>
      <c r="AE3" s="54" t="s">
        <v>23</v>
      </c>
      <c r="AF3" s="54" t="s">
        <v>22</v>
      </c>
      <c r="AG3" s="54" t="s">
        <v>24</v>
      </c>
      <c r="AH3" s="54" t="s">
        <v>23</v>
      </c>
      <c r="AI3" s="54" t="s">
        <v>22</v>
      </c>
      <c r="AJ3" s="59" t="s">
        <v>23</v>
      </c>
      <c r="AK3" s="59" t="s">
        <v>22</v>
      </c>
      <c r="AL3" s="55" t="s">
        <v>23</v>
      </c>
      <c r="AM3" s="54" t="s">
        <v>22</v>
      </c>
      <c r="AN3" s="79" t="s">
        <v>25</v>
      </c>
      <c r="AO3" s="60" t="s">
        <v>109</v>
      </c>
      <c r="AP3" s="60" t="s">
        <v>113</v>
      </c>
      <c r="AQ3" s="60" t="s">
        <v>111</v>
      </c>
    </row>
    <row r="4" spans="1:43" ht="72.75" thickBot="1" x14ac:dyDescent="0.3">
      <c r="D4" s="888" t="s">
        <v>788</v>
      </c>
      <c r="E4" s="888" t="s">
        <v>788</v>
      </c>
      <c r="F4" s="266" t="s">
        <v>1155</v>
      </c>
      <c r="G4" s="268">
        <v>0</v>
      </c>
      <c r="H4" s="540" t="s">
        <v>1156</v>
      </c>
      <c r="I4" s="258" t="s">
        <v>1157</v>
      </c>
      <c r="J4" s="546">
        <v>400000</v>
      </c>
      <c r="K4" s="397">
        <v>1</v>
      </c>
      <c r="L4" s="397">
        <v>100</v>
      </c>
      <c r="M4" s="547"/>
      <c r="N4" s="547"/>
      <c r="O4" s="547"/>
      <c r="P4" s="547"/>
      <c r="Q4" s="547"/>
      <c r="R4" s="547"/>
      <c r="S4" s="547"/>
      <c r="T4" s="546">
        <v>400000</v>
      </c>
      <c r="U4" s="546">
        <v>400000</v>
      </c>
      <c r="V4" s="397">
        <v>100</v>
      </c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50" t="s">
        <v>1154</v>
      </c>
      <c r="AP4" s="130" t="s">
        <v>59</v>
      </c>
      <c r="AQ4" s="550" t="s">
        <v>1172</v>
      </c>
    </row>
    <row r="5" spans="1:43" s="53" customFormat="1" ht="101.25" customHeight="1" thickBot="1" x14ac:dyDescent="0.3">
      <c r="D5" s="888"/>
      <c r="E5" s="888"/>
      <c r="F5" s="266" t="s">
        <v>1161</v>
      </c>
      <c r="G5" s="300">
        <v>10</v>
      </c>
      <c r="H5" s="540" t="s">
        <v>1170</v>
      </c>
      <c r="I5" s="258" t="s">
        <v>1162</v>
      </c>
      <c r="J5" s="546">
        <v>120000</v>
      </c>
      <c r="K5" s="397">
        <v>2</v>
      </c>
      <c r="L5" s="397">
        <v>20</v>
      </c>
      <c r="M5" s="397">
        <v>3</v>
      </c>
      <c r="N5" s="548">
        <v>50</v>
      </c>
      <c r="O5" s="548">
        <v>2</v>
      </c>
      <c r="P5" s="548">
        <v>70</v>
      </c>
      <c r="Q5" s="397">
        <v>3</v>
      </c>
      <c r="R5" s="397">
        <v>100</v>
      </c>
      <c r="S5" s="547"/>
      <c r="T5" s="546">
        <v>120000</v>
      </c>
      <c r="U5" s="397">
        <v>2400</v>
      </c>
      <c r="V5" s="397">
        <v>20</v>
      </c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50" t="s">
        <v>1154</v>
      </c>
      <c r="AP5" s="130" t="s">
        <v>59</v>
      </c>
      <c r="AQ5" s="550" t="s">
        <v>1172</v>
      </c>
    </row>
    <row r="6" spans="1:43" ht="119.25" customHeight="1" thickBot="1" x14ac:dyDescent="0.3">
      <c r="A6" s="541" t="s">
        <v>59</v>
      </c>
      <c r="B6" s="525" t="s">
        <v>1154</v>
      </c>
      <c r="C6" s="525" t="s">
        <v>1152</v>
      </c>
      <c r="D6" s="888"/>
      <c r="E6" s="889"/>
      <c r="F6" s="266" t="s">
        <v>1158</v>
      </c>
      <c r="G6" s="268">
        <v>0</v>
      </c>
      <c r="H6" s="540" t="s">
        <v>1159</v>
      </c>
      <c r="I6" s="258" t="s">
        <v>1160</v>
      </c>
      <c r="J6" s="546">
        <v>2000</v>
      </c>
      <c r="K6" s="538">
        <v>1</v>
      </c>
      <c r="L6" s="538">
        <v>100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50" t="s">
        <v>1154</v>
      </c>
      <c r="AP6" s="130" t="s">
        <v>59</v>
      </c>
      <c r="AQ6" s="550" t="s">
        <v>1172</v>
      </c>
    </row>
    <row r="7" spans="1:43" ht="124.5" customHeight="1" thickBot="1" x14ac:dyDescent="0.3">
      <c r="A7" s="61"/>
      <c r="B7" s="61"/>
      <c r="C7" s="541" t="s">
        <v>1153</v>
      </c>
      <c r="D7" s="889"/>
      <c r="E7" s="540" t="s">
        <v>1164</v>
      </c>
      <c r="F7" s="266" t="s">
        <v>1163</v>
      </c>
      <c r="G7" s="268">
        <v>24</v>
      </c>
      <c r="H7" s="540" t="s">
        <v>1165</v>
      </c>
      <c r="I7" s="543" t="s">
        <v>1166</v>
      </c>
      <c r="J7" s="543">
        <v>40000</v>
      </c>
      <c r="K7" s="538">
        <v>6</v>
      </c>
      <c r="L7" s="538">
        <v>25</v>
      </c>
      <c r="M7" s="538">
        <v>12</v>
      </c>
      <c r="N7" s="538">
        <v>50</v>
      </c>
      <c r="O7" s="538">
        <v>18</v>
      </c>
      <c r="P7" s="538">
        <v>75</v>
      </c>
      <c r="Q7" s="538">
        <v>24</v>
      </c>
      <c r="R7" s="538">
        <v>100</v>
      </c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61"/>
      <c r="AI7" s="61"/>
      <c r="AJ7" s="61"/>
      <c r="AK7" s="61"/>
      <c r="AL7" s="61"/>
      <c r="AM7" s="61"/>
      <c r="AN7" s="61"/>
      <c r="AO7" s="550" t="s">
        <v>1154</v>
      </c>
      <c r="AP7" s="130" t="s">
        <v>59</v>
      </c>
      <c r="AQ7" s="550" t="s">
        <v>1172</v>
      </c>
    </row>
    <row r="8" spans="1:43" ht="102" customHeight="1" thickBot="1" x14ac:dyDescent="0.3">
      <c r="A8" s="61"/>
      <c r="B8" s="61"/>
      <c r="C8" s="61"/>
      <c r="D8" s="887"/>
      <c r="E8" s="259"/>
      <c r="F8" s="266" t="s">
        <v>1167</v>
      </c>
      <c r="G8" s="268"/>
      <c r="H8" s="540" t="s">
        <v>1171</v>
      </c>
      <c r="I8" s="275" t="s">
        <v>1169</v>
      </c>
      <c r="J8" s="545">
        <v>30000</v>
      </c>
      <c r="K8" s="538">
        <v>1</v>
      </c>
      <c r="L8" s="538">
        <v>100</v>
      </c>
      <c r="M8" s="189"/>
      <c r="N8" s="189"/>
      <c r="O8" s="189"/>
      <c r="P8" s="189"/>
      <c r="Q8" s="189"/>
      <c r="R8" s="18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550" t="s">
        <v>1154</v>
      </c>
      <c r="AP8" s="130" t="s">
        <v>59</v>
      </c>
      <c r="AQ8" s="550" t="s">
        <v>1172</v>
      </c>
    </row>
    <row r="9" spans="1:43" ht="64.5" customHeight="1" thickBot="1" x14ac:dyDescent="0.3">
      <c r="A9" s="62"/>
      <c r="B9" s="62"/>
      <c r="C9" s="62"/>
      <c r="D9" s="930"/>
      <c r="E9" s="286"/>
      <c r="F9" s="291" t="s">
        <v>1173</v>
      </c>
      <c r="G9" s="268"/>
      <c r="H9" s="542" t="s">
        <v>1174</v>
      </c>
      <c r="I9" s="279"/>
      <c r="J9" s="545"/>
      <c r="K9" s="64"/>
      <c r="L9" s="65"/>
      <c r="M9" s="64"/>
      <c r="N9" s="65"/>
      <c r="O9" s="64"/>
      <c r="P9" s="65"/>
      <c r="Q9" s="64"/>
      <c r="R9" s="65"/>
      <c r="S9" s="66"/>
      <c r="T9" s="67"/>
      <c r="U9" s="68"/>
      <c r="V9" s="65"/>
      <c r="W9" s="68"/>
      <c r="X9" s="65"/>
      <c r="Y9" s="68"/>
      <c r="Z9" s="65"/>
      <c r="AA9" s="68"/>
      <c r="AB9" s="65"/>
      <c r="AC9" s="68"/>
      <c r="AD9" s="65"/>
      <c r="AE9" s="68"/>
      <c r="AF9" s="65"/>
      <c r="AG9" s="63"/>
      <c r="AH9" s="63"/>
      <c r="AI9" s="63"/>
      <c r="AJ9" s="69"/>
      <c r="AK9" s="70"/>
      <c r="AL9" s="63"/>
      <c r="AM9" s="63"/>
      <c r="AN9" s="63"/>
      <c r="AO9" s="62"/>
      <c r="AP9" s="62"/>
      <c r="AQ9" s="62"/>
    </row>
    <row r="10" spans="1:43" x14ac:dyDescent="0.25">
      <c r="A10" s="62"/>
      <c r="B10" s="62"/>
      <c r="C10" s="62"/>
      <c r="D10" s="62"/>
      <c r="E10" s="62"/>
      <c r="F10" s="62"/>
      <c r="G10" s="63"/>
      <c r="H10" s="63"/>
      <c r="I10" s="63"/>
      <c r="J10" s="63"/>
      <c r="K10" s="64"/>
      <c r="L10" s="65"/>
      <c r="M10" s="64"/>
      <c r="N10" s="65"/>
      <c r="O10" s="64"/>
      <c r="P10" s="65"/>
      <c r="Q10" s="64"/>
      <c r="R10" s="65"/>
      <c r="S10" s="66"/>
      <c r="T10" s="67"/>
      <c r="U10" s="68"/>
      <c r="V10" s="65"/>
      <c r="W10" s="68"/>
      <c r="X10" s="65"/>
      <c r="Y10" s="68"/>
      <c r="Z10" s="65"/>
      <c r="AA10" s="68"/>
      <c r="AB10" s="65"/>
      <c r="AC10" s="68"/>
      <c r="AD10" s="65"/>
      <c r="AE10" s="68"/>
      <c r="AF10" s="65"/>
      <c r="AG10" s="63"/>
      <c r="AH10" s="63"/>
      <c r="AI10" s="68"/>
      <c r="AJ10" s="69"/>
      <c r="AK10" s="70"/>
      <c r="AL10" s="63"/>
      <c r="AM10" s="63"/>
      <c r="AN10" s="63"/>
      <c r="AO10" s="62"/>
      <c r="AP10" s="62"/>
      <c r="AQ10" s="62"/>
    </row>
    <row r="11" spans="1:43" x14ac:dyDescent="0.25">
      <c r="A11" s="62"/>
      <c r="B11" s="62"/>
      <c r="C11" s="62"/>
      <c r="D11" s="62"/>
      <c r="E11" s="62"/>
      <c r="F11" s="62"/>
      <c r="G11" s="63"/>
      <c r="H11" s="63"/>
      <c r="I11" s="63"/>
      <c r="J11" s="63"/>
      <c r="K11" s="64"/>
      <c r="L11" s="65"/>
      <c r="M11" s="64"/>
      <c r="N11" s="65"/>
      <c r="O11" s="64"/>
      <c r="P11" s="65"/>
      <c r="Q11" s="64"/>
      <c r="R11" s="65"/>
      <c r="S11" s="66"/>
      <c r="T11" s="67"/>
      <c r="U11" s="68"/>
      <c r="V11" s="65"/>
      <c r="W11" s="68"/>
      <c r="X11" s="65"/>
      <c r="Y11" s="68"/>
      <c r="Z11" s="65"/>
      <c r="AA11" s="68"/>
      <c r="AB11" s="65"/>
      <c r="AC11" s="68"/>
      <c r="AD11" s="65"/>
      <c r="AE11" s="68"/>
      <c r="AF11" s="65"/>
      <c r="AG11" s="63"/>
      <c r="AH11" s="63"/>
      <c r="AI11" s="63"/>
      <c r="AJ11" s="71"/>
      <c r="AK11" s="70"/>
      <c r="AL11" s="63"/>
      <c r="AM11" s="63"/>
      <c r="AN11" s="63"/>
      <c r="AO11" s="62"/>
      <c r="AP11" s="62"/>
      <c r="AQ11" s="62"/>
    </row>
    <row r="12" spans="1:43" x14ac:dyDescent="0.25">
      <c r="A12" s="62"/>
      <c r="B12" s="62"/>
      <c r="C12" s="62"/>
      <c r="D12" s="62"/>
      <c r="E12" s="62"/>
      <c r="F12" s="62"/>
      <c r="G12" s="63"/>
      <c r="H12" s="63"/>
      <c r="I12" s="63"/>
      <c r="J12" s="63"/>
      <c r="K12" s="64"/>
      <c r="L12" s="65"/>
      <c r="M12" s="64"/>
      <c r="N12" s="65"/>
      <c r="O12" s="64"/>
      <c r="P12" s="65"/>
      <c r="Q12" s="64"/>
      <c r="R12" s="65"/>
      <c r="S12" s="66"/>
      <c r="T12" s="67"/>
      <c r="U12" s="68"/>
      <c r="V12" s="65"/>
      <c r="W12" s="68"/>
      <c r="X12" s="65"/>
      <c r="Y12" s="68"/>
      <c r="Z12" s="65"/>
      <c r="AA12" s="68"/>
      <c r="AB12" s="65"/>
      <c r="AC12" s="68"/>
      <c r="AD12" s="65"/>
      <c r="AE12" s="68"/>
      <c r="AF12" s="65"/>
      <c r="AG12" s="63"/>
      <c r="AH12" s="63"/>
      <c r="AI12" s="63"/>
      <c r="AJ12" s="69"/>
      <c r="AK12" s="70"/>
      <c r="AL12" s="63"/>
      <c r="AM12" s="63"/>
      <c r="AN12" s="63"/>
      <c r="AO12" s="62"/>
      <c r="AP12" s="62"/>
      <c r="AQ12" s="62"/>
    </row>
    <row r="13" spans="1:43" x14ac:dyDescent="0.25">
      <c r="A13" s="62"/>
      <c r="B13" s="62"/>
      <c r="C13" s="62"/>
      <c r="D13" s="62"/>
      <c r="E13" s="62"/>
      <c r="F13" s="62"/>
      <c r="G13" s="63"/>
      <c r="H13" s="63"/>
      <c r="I13" s="63"/>
      <c r="J13" s="63"/>
      <c r="K13" s="64"/>
      <c r="L13" s="65"/>
      <c r="M13" s="64"/>
      <c r="N13" s="65"/>
      <c r="O13" s="64"/>
      <c r="P13" s="65"/>
      <c r="Q13" s="64"/>
      <c r="R13" s="65"/>
      <c r="S13" s="66"/>
      <c r="T13" s="67"/>
      <c r="U13" s="68"/>
      <c r="V13" s="65"/>
      <c r="W13" s="68"/>
      <c r="X13" s="65"/>
      <c r="Y13" s="68"/>
      <c r="Z13" s="65"/>
      <c r="AA13" s="68"/>
      <c r="AB13" s="65"/>
      <c r="AC13" s="68"/>
      <c r="AD13" s="65"/>
      <c r="AE13" s="68"/>
      <c r="AF13" s="65"/>
      <c r="AG13" s="63"/>
      <c r="AH13" s="63"/>
      <c r="AI13" s="63"/>
      <c r="AJ13" s="71"/>
      <c r="AK13" s="70"/>
      <c r="AL13" s="63"/>
      <c r="AM13" s="63"/>
      <c r="AN13" s="63"/>
      <c r="AO13" s="62"/>
      <c r="AP13" s="62"/>
      <c r="AQ13" s="62"/>
    </row>
    <row r="14" spans="1:43" x14ac:dyDescent="0.25">
      <c r="A14" s="62"/>
      <c r="B14" s="62"/>
      <c r="C14" s="62"/>
      <c r="D14" s="62"/>
      <c r="E14" s="62"/>
      <c r="F14" s="62"/>
      <c r="G14" s="63"/>
      <c r="H14" s="63"/>
      <c r="I14" s="63"/>
      <c r="J14" s="63"/>
      <c r="K14" s="64"/>
      <c r="L14" s="65"/>
      <c r="M14" s="64"/>
      <c r="N14" s="65"/>
      <c r="O14" s="64"/>
      <c r="P14" s="65"/>
      <c r="Q14" s="64"/>
      <c r="R14" s="65"/>
      <c r="S14" s="66"/>
      <c r="T14" s="67"/>
      <c r="U14" s="68"/>
      <c r="V14" s="65"/>
      <c r="W14" s="68"/>
      <c r="X14" s="65"/>
      <c r="Y14" s="68"/>
      <c r="Z14" s="65"/>
      <c r="AA14" s="68"/>
      <c r="AB14" s="65"/>
      <c r="AC14" s="68"/>
      <c r="AD14" s="65"/>
      <c r="AE14" s="68"/>
      <c r="AF14" s="65"/>
      <c r="AG14" s="63"/>
      <c r="AH14" s="63"/>
      <c r="AI14" s="63"/>
      <c r="AJ14" s="71"/>
      <c r="AK14" s="70"/>
      <c r="AL14" s="63"/>
      <c r="AM14" s="63"/>
      <c r="AN14" s="63"/>
      <c r="AO14" s="62"/>
      <c r="AP14" s="62"/>
      <c r="AQ14" s="62"/>
    </row>
    <row r="15" spans="1:43" x14ac:dyDescent="0.25">
      <c r="A15" s="62"/>
      <c r="B15" s="62"/>
      <c r="C15" s="62"/>
      <c r="D15" s="62"/>
      <c r="E15" s="62"/>
      <c r="F15" s="62"/>
      <c r="G15" s="63"/>
      <c r="H15" s="63"/>
      <c r="I15" s="63"/>
      <c r="J15" s="63"/>
      <c r="K15" s="64"/>
      <c r="L15" s="65"/>
      <c r="M15" s="64"/>
      <c r="N15" s="65"/>
      <c r="O15" s="64"/>
      <c r="P15" s="65"/>
      <c r="Q15" s="64"/>
      <c r="R15" s="65"/>
      <c r="S15" s="66"/>
      <c r="T15" s="67"/>
      <c r="U15" s="68"/>
      <c r="V15" s="65"/>
      <c r="W15" s="68"/>
      <c r="X15" s="65"/>
      <c r="Y15" s="68"/>
      <c r="Z15" s="65"/>
      <c r="AA15" s="68"/>
      <c r="AB15" s="65"/>
      <c r="AC15" s="68"/>
      <c r="AD15" s="65"/>
      <c r="AE15" s="68"/>
      <c r="AF15" s="65"/>
      <c r="AG15" s="63"/>
      <c r="AH15" s="63"/>
      <c r="AI15" s="63"/>
      <c r="AJ15" s="69"/>
      <c r="AK15" s="70"/>
      <c r="AL15" s="63"/>
      <c r="AM15" s="63"/>
      <c r="AN15" s="63"/>
      <c r="AO15" s="62"/>
      <c r="AP15" s="62"/>
      <c r="AQ15" s="62"/>
    </row>
    <row r="16" spans="1:43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43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1:43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</row>
    <row r="19" spans="1:43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x14ac:dyDescent="0.25">
      <c r="B20" s="53"/>
      <c r="C20" s="53"/>
      <c r="D20" s="53"/>
      <c r="E20" s="53"/>
      <c r="F20" s="53"/>
      <c r="G20" s="53"/>
      <c r="H20" s="53"/>
      <c r="I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</row>
    <row r="21" spans="1:43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1:43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43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1:43" x14ac:dyDescent="0.25">
      <c r="A24" s="62"/>
      <c r="B24" s="62"/>
      <c r="C24" s="62"/>
      <c r="D24" s="62"/>
      <c r="E24" s="62"/>
      <c r="F24" s="62"/>
      <c r="G24" s="63"/>
      <c r="H24" s="63"/>
      <c r="I24" s="63"/>
      <c r="J24" s="63"/>
      <c r="K24" s="64"/>
      <c r="L24" s="65"/>
      <c r="M24" s="64"/>
      <c r="N24" s="65"/>
      <c r="O24" s="64"/>
      <c r="P24" s="65"/>
      <c r="Q24" s="64"/>
      <c r="R24" s="65"/>
      <c r="S24" s="66"/>
      <c r="T24" s="67"/>
      <c r="U24" s="68"/>
      <c r="V24" s="65"/>
      <c r="W24" s="68"/>
      <c r="X24" s="65"/>
      <c r="Y24" s="68"/>
      <c r="Z24" s="65"/>
      <c r="AA24" s="68"/>
      <c r="AB24" s="65"/>
      <c r="AC24" s="68"/>
      <c r="AD24" s="65"/>
      <c r="AE24" s="68"/>
      <c r="AF24" s="65"/>
      <c r="AG24" s="63"/>
      <c r="AH24" s="63"/>
      <c r="AI24" s="63"/>
      <c r="AJ24" s="69"/>
      <c r="AK24" s="70"/>
      <c r="AL24" s="63"/>
      <c r="AM24" s="63"/>
      <c r="AN24" s="63"/>
      <c r="AO24" s="62"/>
      <c r="AP24" s="62"/>
      <c r="AQ24" s="62"/>
    </row>
    <row r="25" spans="1:43" x14ac:dyDescent="0.25">
      <c r="A25" s="62"/>
      <c r="B25" s="62"/>
      <c r="C25" s="62"/>
      <c r="D25" s="62"/>
      <c r="E25" s="62"/>
      <c r="F25" s="62"/>
      <c r="G25" s="63"/>
      <c r="H25" s="63"/>
      <c r="I25" s="63"/>
      <c r="J25" s="63"/>
      <c r="K25" s="64"/>
      <c r="L25" s="65"/>
      <c r="M25" s="64"/>
      <c r="N25" s="65"/>
      <c r="O25" s="64"/>
      <c r="P25" s="65"/>
      <c r="Q25" s="64"/>
      <c r="R25" s="65"/>
      <c r="S25" s="66"/>
      <c r="T25" s="67"/>
      <c r="U25" s="68"/>
      <c r="V25" s="65"/>
      <c r="W25" s="68"/>
      <c r="X25" s="65"/>
      <c r="Y25" s="68"/>
      <c r="Z25" s="65"/>
      <c r="AA25" s="68"/>
      <c r="AB25" s="65"/>
      <c r="AC25" s="68"/>
      <c r="AD25" s="65"/>
      <c r="AE25" s="68"/>
      <c r="AF25" s="65"/>
      <c r="AG25" s="63"/>
      <c r="AH25" s="63"/>
      <c r="AI25" s="68"/>
      <c r="AJ25" s="69"/>
      <c r="AK25" s="70"/>
      <c r="AL25" s="63"/>
      <c r="AM25" s="63"/>
      <c r="AN25" s="63"/>
      <c r="AO25" s="62"/>
      <c r="AP25" s="62"/>
      <c r="AQ25" s="62"/>
    </row>
    <row r="26" spans="1:43" x14ac:dyDescent="0.25">
      <c r="A26" s="62"/>
      <c r="B26" s="62"/>
      <c r="C26" s="62"/>
      <c r="D26" s="62"/>
      <c r="E26" s="62"/>
      <c r="F26" s="62"/>
      <c r="G26" s="63"/>
      <c r="H26" s="63"/>
      <c r="I26" s="63"/>
      <c r="J26" s="63"/>
      <c r="K26" s="64"/>
      <c r="L26" s="65"/>
      <c r="M26" s="64"/>
      <c r="N26" s="65"/>
      <c r="O26" s="64"/>
      <c r="P26" s="65"/>
      <c r="Q26" s="64"/>
      <c r="R26" s="65"/>
      <c r="S26" s="66"/>
      <c r="T26" s="67"/>
      <c r="U26" s="68"/>
      <c r="V26" s="65"/>
      <c r="W26" s="68"/>
      <c r="X26" s="65"/>
      <c r="Y26" s="68"/>
      <c r="Z26" s="65"/>
      <c r="AA26" s="68"/>
      <c r="AB26" s="65"/>
      <c r="AC26" s="68"/>
      <c r="AD26" s="65"/>
      <c r="AE26" s="68"/>
      <c r="AF26" s="65"/>
      <c r="AG26" s="63"/>
      <c r="AH26" s="63"/>
      <c r="AI26" s="63"/>
      <c r="AJ26" s="71"/>
      <c r="AK26" s="70"/>
      <c r="AL26" s="63"/>
      <c r="AM26" s="63"/>
      <c r="AN26" s="63"/>
      <c r="AO26" s="62"/>
      <c r="AP26" s="62"/>
      <c r="AQ26" s="62"/>
    </row>
    <row r="27" spans="1:43" x14ac:dyDescent="0.25">
      <c r="A27" s="62"/>
      <c r="B27" s="62"/>
      <c r="C27" s="62"/>
      <c r="D27" s="62"/>
      <c r="E27" s="62"/>
      <c r="F27" s="62"/>
      <c r="G27" s="63"/>
      <c r="H27" s="63"/>
      <c r="I27" s="63"/>
      <c r="J27" s="63"/>
      <c r="K27" s="64"/>
      <c r="L27" s="65"/>
      <c r="M27" s="64"/>
      <c r="N27" s="65"/>
      <c r="O27" s="64"/>
      <c r="P27" s="65"/>
      <c r="Q27" s="64"/>
      <c r="R27" s="65"/>
      <c r="S27" s="66"/>
      <c r="T27" s="67"/>
      <c r="U27" s="68"/>
      <c r="V27" s="65"/>
      <c r="W27" s="68"/>
      <c r="X27" s="65"/>
      <c r="Y27" s="68"/>
      <c r="Z27" s="65"/>
      <c r="AA27" s="68"/>
      <c r="AB27" s="65"/>
      <c r="AC27" s="68"/>
      <c r="AD27" s="65"/>
      <c r="AE27" s="68"/>
      <c r="AF27" s="65"/>
      <c r="AG27" s="63"/>
      <c r="AH27" s="63"/>
      <c r="AI27" s="63"/>
      <c r="AJ27" s="69"/>
      <c r="AK27" s="70"/>
      <c r="AL27" s="63"/>
      <c r="AM27" s="63"/>
      <c r="AN27" s="63"/>
      <c r="AO27" s="62"/>
      <c r="AP27" s="62"/>
      <c r="AQ27" s="62"/>
    </row>
    <row r="28" spans="1:43" x14ac:dyDescent="0.25">
      <c r="A28" s="62"/>
      <c r="B28" s="62"/>
      <c r="C28" s="62"/>
      <c r="D28" s="62"/>
      <c r="E28" s="62"/>
      <c r="F28" s="62"/>
      <c r="G28" s="63"/>
      <c r="H28" s="63"/>
      <c r="I28" s="63"/>
      <c r="J28" s="63"/>
      <c r="K28" s="64"/>
      <c r="L28" s="65"/>
      <c r="M28" s="64"/>
      <c r="N28" s="65"/>
      <c r="O28" s="64"/>
      <c r="P28" s="65"/>
      <c r="Q28" s="64"/>
      <c r="R28" s="65"/>
      <c r="S28" s="66"/>
      <c r="T28" s="67"/>
      <c r="U28" s="68"/>
      <c r="V28" s="65"/>
      <c r="W28" s="68"/>
      <c r="X28" s="65"/>
      <c r="Y28" s="68"/>
      <c r="Z28" s="65"/>
      <c r="AA28" s="68"/>
      <c r="AB28" s="65"/>
      <c r="AC28" s="68"/>
      <c r="AD28" s="65"/>
      <c r="AE28" s="68"/>
      <c r="AF28" s="65"/>
      <c r="AG28" s="63"/>
      <c r="AH28" s="63"/>
      <c r="AI28" s="63"/>
      <c r="AJ28" s="71"/>
      <c r="AK28" s="70"/>
      <c r="AL28" s="63"/>
      <c r="AM28" s="63"/>
      <c r="AN28" s="63"/>
      <c r="AO28" s="62"/>
      <c r="AP28" s="62"/>
      <c r="AQ28" s="62"/>
    </row>
    <row r="29" spans="1:43" x14ac:dyDescent="0.25">
      <c r="A29" s="62"/>
      <c r="B29" s="62"/>
      <c r="C29" s="62"/>
      <c r="D29" s="62"/>
      <c r="E29" s="62"/>
      <c r="F29" s="62"/>
      <c r="G29" s="63"/>
      <c r="H29" s="63"/>
      <c r="I29" s="63"/>
      <c r="J29" s="63"/>
      <c r="K29" s="64"/>
      <c r="L29" s="65"/>
      <c r="M29" s="64"/>
      <c r="N29" s="65"/>
      <c r="O29" s="64"/>
      <c r="P29" s="65"/>
      <c r="Q29" s="64"/>
      <c r="R29" s="65"/>
      <c r="S29" s="66"/>
      <c r="T29" s="67"/>
      <c r="U29" s="68"/>
      <c r="V29" s="65"/>
      <c r="W29" s="68"/>
      <c r="X29" s="65"/>
      <c r="Y29" s="68"/>
      <c r="Z29" s="65"/>
      <c r="AA29" s="68"/>
      <c r="AB29" s="65"/>
      <c r="AC29" s="68"/>
      <c r="AD29" s="65"/>
      <c r="AE29" s="68"/>
      <c r="AF29" s="65"/>
      <c r="AG29" s="63"/>
      <c r="AH29" s="63"/>
      <c r="AI29" s="63"/>
      <c r="AJ29" s="71"/>
      <c r="AK29" s="70"/>
      <c r="AL29" s="63"/>
      <c r="AM29" s="63"/>
      <c r="AN29" s="63"/>
      <c r="AO29" s="62"/>
      <c r="AP29" s="62"/>
      <c r="AQ29" s="62"/>
    </row>
    <row r="30" spans="1:43" x14ac:dyDescent="0.25">
      <c r="A30" s="62"/>
      <c r="B30" s="62"/>
      <c r="C30" s="62"/>
      <c r="D30" s="62"/>
      <c r="E30" s="62"/>
      <c r="F30" s="62"/>
      <c r="G30" s="63"/>
      <c r="H30" s="63"/>
      <c r="I30" s="63"/>
      <c r="J30" s="63"/>
      <c r="K30" s="64"/>
      <c r="L30" s="65"/>
      <c r="M30" s="64"/>
      <c r="N30" s="65"/>
      <c r="O30" s="64"/>
      <c r="P30" s="65"/>
      <c r="Q30" s="64"/>
      <c r="R30" s="65"/>
      <c r="S30" s="66"/>
      <c r="T30" s="67"/>
      <c r="U30" s="68"/>
      <c r="V30" s="65"/>
      <c r="W30" s="68"/>
      <c r="X30" s="65"/>
      <c r="Y30" s="68"/>
      <c r="Z30" s="65"/>
      <c r="AA30" s="68"/>
      <c r="AB30" s="65"/>
      <c r="AC30" s="68"/>
      <c r="AD30" s="65"/>
      <c r="AE30" s="68"/>
      <c r="AF30" s="65"/>
      <c r="AG30" s="63"/>
      <c r="AH30" s="63"/>
      <c r="AI30" s="63"/>
      <c r="AJ30" s="69"/>
      <c r="AK30" s="70"/>
      <c r="AL30" s="63"/>
      <c r="AM30" s="63"/>
      <c r="AN30" s="63"/>
      <c r="AO30" s="62"/>
      <c r="AP30" s="62"/>
      <c r="AQ30" s="62"/>
    </row>
    <row r="31" spans="1:43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  <row r="32" spans="1:43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1:43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</sheetData>
  <mergeCells count="31">
    <mergeCell ref="A1:A3"/>
    <mergeCell ref="D4:D7"/>
    <mergeCell ref="E4:E6"/>
    <mergeCell ref="D8:D9"/>
    <mergeCell ref="U1:AB1"/>
    <mergeCell ref="AC1:AN1"/>
    <mergeCell ref="F1:F3"/>
    <mergeCell ref="B1:B3"/>
    <mergeCell ref="C1:C3"/>
    <mergeCell ref="D1:D3"/>
    <mergeCell ref="E1:E3"/>
    <mergeCell ref="G1:G3"/>
    <mergeCell ref="H1:H3"/>
    <mergeCell ref="I1:I3"/>
    <mergeCell ref="L1:R1"/>
    <mergeCell ref="AO1:AQ2"/>
    <mergeCell ref="K2:L2"/>
    <mergeCell ref="M2:N2"/>
    <mergeCell ref="O2:P2"/>
    <mergeCell ref="Q2:R2"/>
    <mergeCell ref="U2:V2"/>
    <mergeCell ref="W2:X2"/>
    <mergeCell ref="S1:S3"/>
    <mergeCell ref="AL2:AN2"/>
    <mergeCell ref="Y2:Z2"/>
    <mergeCell ref="AA2:AB2"/>
    <mergeCell ref="AC2:AD2"/>
    <mergeCell ref="AE2:AG2"/>
    <mergeCell ref="AH2:AI2"/>
    <mergeCell ref="AJ2:AK2"/>
    <mergeCell ref="T1:T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FOVIS</vt:lpstr>
      <vt:lpstr>INFRAESTRUCTURA</vt:lpstr>
      <vt:lpstr>DIR CULTURA CIUD DLLO SOCIAL</vt:lpstr>
      <vt:lpstr>UMATA</vt:lpstr>
      <vt:lpstr>DIR CULTURA</vt:lpstr>
      <vt:lpstr>DIR EDUCACION</vt:lpstr>
      <vt:lpstr>DIR PLANEACION</vt:lpstr>
      <vt:lpstr>INDEPORTES</vt:lpstr>
      <vt:lpstr>DIR TRANSITO Y TTE</vt:lpstr>
      <vt:lpstr>SECRE-GOBIERNO</vt:lpstr>
      <vt:lpstr>COMISARIA DE FAMILIA</vt:lpstr>
      <vt:lpstr>DIR SALUD</vt:lpstr>
      <vt:lpstr>SANEAMIENTO BASICO</vt:lpstr>
      <vt:lpstr>PROYECTOS</vt:lpstr>
      <vt:lpstr>Hoja13</vt:lpstr>
      <vt:lpstr>Hoja14</vt:lpstr>
      <vt:lpstr>Hoja15</vt:lpstr>
      <vt:lpstr>Hoja16</vt:lpstr>
      <vt:lpstr>Hoja17</vt:lpstr>
      <vt:lpstr>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David Suarez Sanchez</cp:lastModifiedBy>
  <cp:lastPrinted>2012-09-26T20:52:14Z</cp:lastPrinted>
  <dcterms:created xsi:type="dcterms:W3CDTF">2012-09-01T20:54:55Z</dcterms:created>
  <dcterms:modified xsi:type="dcterms:W3CDTF">2014-03-11T16:08:05Z</dcterms:modified>
</cp:coreProperties>
</file>