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COMPARATIVO SECTORIAL" sheetId="1" r:id="rId1"/>
    <sheet name="COMPARATIVO PDM Vs PPTO" sheetId="2" r:id="rId2"/>
    <sheet name="DEFINITIVO COMPARATIVO PDM" sheetId="3" r:id="rId3"/>
    <sheet name="CONSOLIDADO 2011" sheetId="4" r:id="rId4"/>
    <sheet name="año 2011" sheetId="5" r:id="rId5"/>
    <sheet name="año 2010" sheetId="6" r:id="rId6"/>
    <sheet name="año 2009" sheetId="7" r:id="rId7"/>
    <sheet name="año 200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<sst xmlns="http://schemas.openxmlformats.org/spreadsheetml/2006/main" count="794" uniqueCount="137">
  <si>
    <t xml:space="preserve">ESTRATEGIA </t>
  </si>
  <si>
    <t>%POND</t>
  </si>
  <si>
    <t>SECTOR</t>
  </si>
  <si>
    <t xml:space="preserve"> 1 EJE DE DESARROLLO ECONOM ICO</t>
  </si>
  <si>
    <t>PROYECTADO</t>
  </si>
  <si>
    <t>EJECUTADO</t>
  </si>
  <si>
    <t>PROMOCION DEL DESARROLLO</t>
  </si>
  <si>
    <t>INDUSTRIA COMERCIO Y TRURISMO</t>
  </si>
  <si>
    <t>AGROPECUARIO</t>
  </si>
  <si>
    <t>2. EJE DE DESARROLLO TEJIDO SOCIAL</t>
  </si>
  <si>
    <t>CULTURA</t>
  </si>
  <si>
    <t>SALUD</t>
  </si>
  <si>
    <t>EDUCACION</t>
  </si>
  <si>
    <t>TRANSPORTE</t>
  </si>
  <si>
    <t xml:space="preserve">4. EJE  ESTRATEGICO DE DESARROLLO INSTITUCIONAL </t>
  </si>
  <si>
    <t>3. EJE  ESTRATEGICO DE MEJORAMIENTO DE LA INFRAESTRUCTURA Y EQUIPAMIENTOS</t>
  </si>
  <si>
    <t>ALIMENTACION ESCOLAR</t>
  </si>
  <si>
    <t>VIGENCIA 2008</t>
  </si>
  <si>
    <t>FINAL</t>
  </si>
  <si>
    <t>%</t>
  </si>
  <si>
    <t>SGP</t>
  </si>
  <si>
    <t>RP</t>
  </si>
  <si>
    <t>OTRAS</t>
  </si>
  <si>
    <t>ALIMENTAC.ESCOLAR</t>
  </si>
  <si>
    <t>AGUA POTAB.Y SANEAM.</t>
  </si>
  <si>
    <t>ELECTRICO</t>
  </si>
  <si>
    <t>AMBIENTAL</t>
  </si>
  <si>
    <t>CENTROS DE RECLUSION</t>
  </si>
  <si>
    <t>DESASTRES</t>
  </si>
  <si>
    <t>PROMOC.DESARROLLO</t>
  </si>
  <si>
    <t>GRUPOS VULNERABLES</t>
  </si>
  <si>
    <t>EQUIPAMIENTO</t>
  </si>
  <si>
    <t>DESAR.COMUNITARIO</t>
  </si>
  <si>
    <t>FORTALEC.INSTITUCIONAL</t>
  </si>
  <si>
    <t>JUSTICIA</t>
  </si>
  <si>
    <t>FDO.SOLIDARIDAD</t>
  </si>
  <si>
    <t>DEPORTES</t>
  </si>
  <si>
    <t>VIVIENDA</t>
  </si>
  <si>
    <t>FDO. SEGURIDAD</t>
  </si>
  <si>
    <t>DEUDA PUBLICA</t>
  </si>
  <si>
    <t>TOTAL</t>
  </si>
  <si>
    <t xml:space="preserve">PROGRAMA </t>
  </si>
  <si>
    <t>% PON</t>
  </si>
  <si>
    <t>GESTION</t>
  </si>
  <si>
    <t>DESARROLLO COMUNITARIO</t>
  </si>
  <si>
    <t>VIGENCIA 2009</t>
  </si>
  <si>
    <t>VIGENCIA 2010</t>
  </si>
  <si>
    <t>RECURSOS PROPIOS ($)</t>
  </si>
  <si>
    <t>SGP ($)</t>
  </si>
  <si>
    <t>OTROS</t>
  </si>
  <si>
    <t>AGUA POTABABLE Y SANEAMIENTO BASICO</t>
  </si>
  <si>
    <t>PREV.DESASTRES</t>
  </si>
  <si>
    <t>JUSTICIA Y SEGURIDAD PUBLICA</t>
  </si>
  <si>
    <t>FDO.SOLIDARIDAD Y REDISTRIBUCION DEL INGRESO</t>
  </si>
  <si>
    <t>FONDO.SEGURIDAD</t>
  </si>
  <si>
    <t>DEUDA</t>
  </si>
  <si>
    <t>PRESUPUESTO FINAL</t>
  </si>
  <si>
    <t>% CUMP.</t>
  </si>
  <si>
    <t>% CUMP</t>
  </si>
  <si>
    <t>10202 Optimizacion del Servicio de Alumbrado Publico</t>
  </si>
  <si>
    <t>1.01  AGUA POTABLE Y SANEAMIENTO BASICO</t>
  </si>
  <si>
    <t>10304 Implementacion del Servicio de gas Domiciliario para la cabecera Municipal y los Centros Poblados de San Antonio y Bohio</t>
  </si>
  <si>
    <t>1.01.01 Agua potable y saneamiento básico</t>
  </si>
  <si>
    <t>10401 Construyendo seguridad vial</t>
  </si>
  <si>
    <t>10501 Mejoramiento productividad agropecuaria y Planes de seguridad alimentaria</t>
  </si>
  <si>
    <t>10703 Fortalecimiento a micro, pequeña y mediana empresa</t>
  </si>
  <si>
    <t>1080102 Consolidación sistema de información de la Alcaldía</t>
  </si>
  <si>
    <t>20101 Mantenimiento Calidad Educativa</t>
  </si>
  <si>
    <t>20201 Alimentación escolar</t>
  </si>
  <si>
    <t>20202 Salud pública - Plan Territorial de Salud Publica PTSP</t>
  </si>
  <si>
    <t>20301  Ampliación de cobertura de vivienda de interés social de la zona urbana y rural a las clases menos favorecidas</t>
  </si>
  <si>
    <t>20402 Apoyo a eventos y deporte asociado</t>
  </si>
  <si>
    <t>20505 Difusión y comunicación cultural y artística</t>
  </si>
  <si>
    <t>20604 Organizaciones sociales</t>
  </si>
  <si>
    <t xml:space="preserve">20603  Atencion a la niñez A 20609 </t>
  </si>
  <si>
    <t>3080301 Diagnóstico, estudio, diseño, pavimentación, repavimentación y mantenimiento de Malla vial del Municipio de Toro</t>
  </si>
  <si>
    <t>3060503 Mejoramiento de infraestructura física  inmuebles Municipales</t>
  </si>
  <si>
    <t xml:space="preserve">40108 Cumplimiento de Ley 617/00 de Saneamiento fiscal / </t>
  </si>
  <si>
    <t>40109 Planificar el manejo de la deuda publica de tal manera que se pueda lograr  inversion mediano plazo en el municipio.</t>
  </si>
  <si>
    <t xml:space="preserve">40201 Seguridad y convivencia ciudadana / 40214 </t>
  </si>
  <si>
    <t>4.1.1.2 Conservación de agua y suelo en el municipio de Toro</t>
  </si>
  <si>
    <t>402  JUSTICIA Y SEGURIDAD</t>
  </si>
  <si>
    <t>401  PREVENCION Y ATENCION DE DESASTRES</t>
  </si>
  <si>
    <t>401.1 MEDIO AMBIENTE</t>
  </si>
  <si>
    <t>401 FORTALECIMIENTO INSTITUCIONAL</t>
  </si>
  <si>
    <t>401 DEUDA PUBLICA</t>
  </si>
  <si>
    <t>308 TRANSPORTE</t>
  </si>
  <si>
    <t>306 EQUIPAMIENTO</t>
  </si>
  <si>
    <t>201 EDUCACION</t>
  </si>
  <si>
    <t>202 ALIMENTACION ESCOLAR</t>
  </si>
  <si>
    <t>202 SALUD</t>
  </si>
  <si>
    <t xml:space="preserve">203 VIVIENDA </t>
  </si>
  <si>
    <t>204 DEPORTE</t>
  </si>
  <si>
    <t>205 CULTURA</t>
  </si>
  <si>
    <t xml:space="preserve">206 GRUPOS VULNERABLES </t>
  </si>
  <si>
    <t>206 DESARROLLO COMUNITARIO</t>
  </si>
  <si>
    <t>1.03 GAS DOMICILIARIO</t>
  </si>
  <si>
    <t xml:space="preserve">1.02 ELECTRICO </t>
  </si>
  <si>
    <t>104 TRANSPORTE</t>
  </si>
  <si>
    <t>105 AGROPECUARIO</t>
  </si>
  <si>
    <t>107 INDUSTRIA COMERCIO Y TRURISMO</t>
  </si>
  <si>
    <t>108 PROMOCION DEL DESARROLLO</t>
  </si>
  <si>
    <t>401.7 Prevención de desastres</t>
  </si>
  <si>
    <t>MUNICIPIO TORO VALLE</t>
  </si>
  <si>
    <t>CONSOLIDADO COMPARATIVO CUMPLIMIENTO PLAN DE DESARROLLO</t>
  </si>
  <si>
    <t>MARIA JOSEFINA LOPEZ RAMIREZ</t>
  </si>
  <si>
    <t>Cuadro Ejecucion Presupuestal año 2008</t>
  </si>
  <si>
    <t>Cuadro de ejecucion presupuestal año 2009</t>
  </si>
  <si>
    <t>Cuadro de ejecuciom presupuestal año 2010</t>
  </si>
  <si>
    <t>VIGENCIA 2011</t>
  </si>
  <si>
    <t>2061 DESARROLLO COMUNITARIO</t>
  </si>
  <si>
    <t>40107 Prevención de desastres</t>
  </si>
  <si>
    <t>4010102 Conservación de agua y suelo en el municipio de Toro</t>
  </si>
  <si>
    <t>107 PROMOCION DEL DESARROLLO</t>
  </si>
  <si>
    <t>1071 INDUSTRIA COMERCIO Y TRURISMO</t>
  </si>
  <si>
    <t>SUBTOTAL</t>
  </si>
  <si>
    <t>% POND</t>
  </si>
  <si>
    <t>PROYECTADO PPTO</t>
  </si>
  <si>
    <t>PROYECTADO PDM</t>
  </si>
  <si>
    <t>107 PROMOCION DEL DESARROLLO -                                   INDUSTRIA COMERCIO Y TRURISMO</t>
  </si>
  <si>
    <t>Cuadro de ejecuciom presupuestal añoS 2008, 2009 , 2010,2011</t>
  </si>
  <si>
    <t>2008 - 2011</t>
  </si>
  <si>
    <t>OBSERVACIONES</t>
  </si>
  <si>
    <t>CUMPLIMIENTO OPTIMO</t>
  </si>
  <si>
    <t>CUMPLIMIENTO MEDIO</t>
  </si>
  <si>
    <t>GESTION OPTIMA SE INICIA SU INSTALACION EN EL 1 TRIMESTRE DEL AÑO 2012</t>
  </si>
  <si>
    <t>MATRIZ COMPARATIVA CUMPLIMIENTO PLAN DE DESARROLLO POR PROGRAMAS</t>
  </si>
  <si>
    <t>Banco de Proyectos</t>
  </si>
  <si>
    <t>Contratacion</t>
  </si>
  <si>
    <t>VIGENCIA 2008 - 2011</t>
  </si>
  <si>
    <t>MATRIZ COMPARATIVA CUMPLIMIENTO PLAN DE DESARROLLO 2008-2011</t>
  </si>
  <si>
    <t>SECTORIAL</t>
  </si>
  <si>
    <t>% CUMP PDM</t>
  </si>
  <si>
    <t>Fuente Cuadros de Ejecucion Presupuestal</t>
  </si>
  <si>
    <t>JEFE ASESORA  OFICINA DE PLANEACION (e)</t>
  </si>
  <si>
    <t>Fuente</t>
  </si>
  <si>
    <t xml:space="preserve">Contratacion 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</si>
</sst>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_-* #,##0.0\ _€_-;\-* #,##0.0\ _€_-;_-* &quot;-&quot;??\ _€_-;_-@_-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justify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2" fontId="0" fillId="0" borderId="10" xfId="48" applyNumberFormat="1" applyFont="1" applyBorder="1" applyAlignment="1">
      <alignment/>
    </xf>
    <xf numFmtId="171" fontId="0" fillId="0" borderId="10" xfId="48" applyFont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8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72" fontId="4" fillId="0" borderId="10" xfId="48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4" fillId="35" borderId="10" xfId="48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1" fontId="4" fillId="0" borderId="10" xfId="48" applyFont="1" applyBorder="1" applyAlignment="1">
      <alignment/>
    </xf>
    <xf numFmtId="171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171" fontId="0" fillId="36" borderId="0" xfId="48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36" borderId="10" xfId="48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172" fontId="0" fillId="36" borderId="10" xfId="48" applyNumberFormat="1" applyFont="1" applyFill="1" applyBorder="1" applyAlignment="1">
      <alignment/>
    </xf>
    <xf numFmtId="171" fontId="4" fillId="36" borderId="10" xfId="48" applyNumberFormat="1" applyFont="1" applyFill="1" applyBorder="1" applyAlignment="1">
      <alignment/>
    </xf>
    <xf numFmtId="172" fontId="4" fillId="36" borderId="10" xfId="48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172" fontId="0" fillId="36" borderId="10" xfId="0" applyNumberFormat="1" applyFill="1" applyBorder="1" applyAlignment="1">
      <alignment/>
    </xf>
    <xf numFmtId="171" fontId="4" fillId="36" borderId="10" xfId="48" applyFont="1" applyFill="1" applyBorder="1" applyAlignment="1">
      <alignment/>
    </xf>
    <xf numFmtId="171" fontId="4" fillId="36" borderId="1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71" fontId="47" fillId="36" borderId="10" xfId="48" applyFont="1" applyFill="1" applyBorder="1" applyAlignment="1">
      <alignment/>
    </xf>
    <xf numFmtId="172" fontId="0" fillId="36" borderId="10" xfId="48" applyNumberFormat="1" applyFont="1" applyFill="1" applyBorder="1" applyAlignment="1">
      <alignment/>
    </xf>
    <xf numFmtId="0" fontId="0" fillId="36" borderId="10" xfId="0" applyFill="1" applyBorder="1" applyAlignment="1">
      <alignment horizontal="center"/>
    </xf>
    <xf numFmtId="172" fontId="47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vertical="justify" wrapText="1"/>
    </xf>
    <xf numFmtId="172" fontId="47" fillId="36" borderId="10" xfId="48" applyNumberFormat="1" applyFont="1" applyFill="1" applyBorder="1" applyAlignment="1">
      <alignment/>
    </xf>
    <xf numFmtId="172" fontId="4" fillId="36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justify" wrapText="1"/>
    </xf>
    <xf numFmtId="171" fontId="28" fillId="36" borderId="10" xfId="48" applyFont="1" applyFill="1" applyBorder="1" applyAlignment="1">
      <alignment/>
    </xf>
    <xf numFmtId="171" fontId="28" fillId="36" borderId="0" xfId="48" applyFont="1" applyFill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28" fillId="36" borderId="0" xfId="0" applyFont="1" applyFill="1" applyAlignment="1">
      <alignment/>
    </xf>
    <xf numFmtId="0" fontId="28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28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justify" wrapText="1"/>
    </xf>
    <xf numFmtId="172" fontId="28" fillId="36" borderId="10" xfId="48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horizontal="left"/>
    </xf>
    <xf numFmtId="0" fontId="10" fillId="36" borderId="10" xfId="0" applyFont="1" applyFill="1" applyBorder="1" applyAlignment="1">
      <alignment/>
    </xf>
    <xf numFmtId="0" fontId="28" fillId="36" borderId="10" xfId="0" applyFont="1" applyFill="1" applyBorder="1" applyAlignment="1">
      <alignment vertical="center"/>
    </xf>
    <xf numFmtId="171" fontId="8" fillId="36" borderId="10" xfId="48" applyNumberFormat="1" applyFont="1" applyFill="1" applyBorder="1" applyAlignment="1">
      <alignment/>
    </xf>
    <xf numFmtId="172" fontId="8" fillId="36" borderId="10" xfId="48" applyNumberFormat="1" applyFont="1" applyFill="1" applyBorder="1" applyAlignment="1">
      <alignment/>
    </xf>
    <xf numFmtId="2" fontId="28" fillId="36" borderId="10" xfId="0" applyNumberFormat="1" applyFont="1" applyFill="1" applyBorder="1" applyAlignment="1">
      <alignment/>
    </xf>
    <xf numFmtId="0" fontId="28" fillId="36" borderId="10" xfId="0" applyFont="1" applyFill="1" applyBorder="1" applyAlignment="1">
      <alignment wrapText="1"/>
    </xf>
    <xf numFmtId="171" fontId="28" fillId="36" borderId="10" xfId="0" applyNumberFormat="1" applyFont="1" applyFill="1" applyBorder="1" applyAlignment="1">
      <alignment/>
    </xf>
    <xf numFmtId="172" fontId="28" fillId="36" borderId="10" xfId="0" applyNumberFormat="1" applyFont="1" applyFill="1" applyBorder="1" applyAlignment="1">
      <alignment/>
    </xf>
    <xf numFmtId="171" fontId="8" fillId="36" borderId="10" xfId="48" applyFont="1" applyFill="1" applyBorder="1" applyAlignment="1">
      <alignment/>
    </xf>
    <xf numFmtId="171" fontId="8" fillId="36" borderId="10" xfId="0" applyNumberFormat="1" applyFont="1" applyFill="1" applyBorder="1" applyAlignment="1">
      <alignment/>
    </xf>
    <xf numFmtId="0" fontId="28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43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0" fillId="37" borderId="10" xfId="0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7" fillId="37" borderId="10" xfId="0" applyFont="1" applyFill="1" applyBorder="1" applyAlignment="1">
      <alignment horizontal="justify" vertical="justify" wrapText="1"/>
    </xf>
    <xf numFmtId="0" fontId="2" fillId="37" borderId="10" xfId="0" applyFont="1" applyFill="1" applyBorder="1" applyAlignment="1">
      <alignment horizontal="justify" vertical="justify"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justify" wrapText="1"/>
    </xf>
    <xf numFmtId="172" fontId="0" fillId="37" borderId="10" xfId="48" applyNumberFormat="1" applyFont="1" applyFill="1" applyBorder="1" applyAlignment="1">
      <alignment/>
    </xf>
    <xf numFmtId="171" fontId="0" fillId="37" borderId="10" xfId="48" applyFont="1" applyFill="1" applyBorder="1" applyAlignment="1">
      <alignment/>
    </xf>
    <xf numFmtId="49" fontId="3" fillId="37" borderId="10" xfId="0" applyNumberFormat="1" applyFont="1" applyFill="1" applyBorder="1" applyAlignment="1">
      <alignment horizontal="left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justify" wrapText="1"/>
    </xf>
    <xf numFmtId="0" fontId="0" fillId="37" borderId="10" xfId="0" applyFill="1" applyBorder="1" applyAlignment="1">
      <alignment vertical="center"/>
    </xf>
    <xf numFmtId="0" fontId="47" fillId="37" borderId="10" xfId="0" applyFont="1" applyFill="1" applyBorder="1" applyAlignment="1">
      <alignment/>
    </xf>
    <xf numFmtId="172" fontId="47" fillId="37" borderId="10" xfId="0" applyNumberFormat="1" applyFont="1" applyFill="1" applyBorder="1" applyAlignment="1">
      <alignment/>
    </xf>
    <xf numFmtId="171" fontId="4" fillId="37" borderId="10" xfId="48" applyNumberFormat="1" applyFont="1" applyFill="1" applyBorder="1" applyAlignment="1">
      <alignment/>
    </xf>
    <xf numFmtId="172" fontId="4" fillId="37" borderId="10" xfId="48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 vertical="justify" wrapText="1"/>
    </xf>
    <xf numFmtId="0" fontId="2" fillId="37" borderId="10" xfId="0" applyFont="1" applyFill="1" applyBorder="1" applyAlignment="1">
      <alignment/>
    </xf>
    <xf numFmtId="0" fontId="0" fillId="37" borderId="10" xfId="0" applyFill="1" applyBorder="1" applyAlignment="1">
      <alignment horizontal="left" vertical="center" wrapText="1"/>
    </xf>
    <xf numFmtId="0" fontId="0" fillId="37" borderId="10" xfId="0" applyFill="1" applyBorder="1" applyAlignment="1">
      <alignment wrapText="1"/>
    </xf>
    <xf numFmtId="172" fontId="0" fillId="37" borderId="10" xfId="0" applyNumberFormat="1" applyFill="1" applyBorder="1" applyAlignment="1">
      <alignment/>
    </xf>
    <xf numFmtId="171" fontId="0" fillId="37" borderId="0" xfId="48" applyFont="1" applyFill="1" applyAlignment="1">
      <alignment/>
    </xf>
    <xf numFmtId="171" fontId="4" fillId="37" borderId="10" xfId="48" applyFont="1" applyFill="1" applyBorder="1" applyAlignment="1">
      <alignment/>
    </xf>
    <xf numFmtId="172" fontId="47" fillId="37" borderId="10" xfId="48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171" fontId="4" fillId="37" borderId="10" xfId="0" applyNumberFormat="1" applyFont="1" applyFill="1" applyBorder="1" applyAlignment="1">
      <alignment/>
    </xf>
    <xf numFmtId="172" fontId="4" fillId="37" borderId="10" xfId="0" applyNumberFormat="1" applyFont="1" applyFill="1" applyBorder="1" applyAlignment="1">
      <alignment/>
    </xf>
    <xf numFmtId="172" fontId="0" fillId="37" borderId="0" xfId="0" applyNumberFormat="1" applyFill="1" applyAlignment="1">
      <alignment/>
    </xf>
    <xf numFmtId="171" fontId="0" fillId="37" borderId="0" xfId="0" applyNumberFormat="1" applyFill="1" applyAlignment="1">
      <alignment/>
    </xf>
    <xf numFmtId="0" fontId="4" fillId="36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justify" vertical="justify" wrapText="1"/>
    </xf>
    <xf numFmtId="0" fontId="4" fillId="36" borderId="10" xfId="0" applyFont="1" applyFill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47" fillId="37" borderId="15" xfId="0" applyFont="1" applyFill="1" applyBorder="1" applyAlignment="1">
      <alignment horizontal="center"/>
    </xf>
    <xf numFmtId="0" fontId="47" fillId="37" borderId="16" xfId="0" applyFont="1" applyFill="1" applyBorder="1" applyAlignment="1">
      <alignment horizontal="center"/>
    </xf>
    <xf numFmtId="0" fontId="47" fillId="37" borderId="17" xfId="0" applyFont="1" applyFill="1" applyBorder="1" applyAlignment="1">
      <alignment horizontal="center"/>
    </xf>
    <xf numFmtId="0" fontId="47" fillId="37" borderId="0" xfId="0" applyFont="1" applyFill="1" applyBorder="1" applyAlignment="1">
      <alignment horizontal="center"/>
    </xf>
    <xf numFmtId="0" fontId="47" fillId="37" borderId="18" xfId="0" applyFont="1" applyFill="1" applyBorder="1" applyAlignment="1">
      <alignment horizontal="center"/>
    </xf>
    <xf numFmtId="0" fontId="47" fillId="37" borderId="1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28" fillId="36" borderId="12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7" fillId="37" borderId="22" xfId="0" applyFont="1" applyFill="1" applyBorder="1" applyAlignment="1">
      <alignment horizontal="center"/>
    </xf>
    <xf numFmtId="0" fontId="47" fillId="37" borderId="23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ueva%20carpeta\FINANCIERO\PLAN%20PLURIANUAL%20DE%20INVERSIONES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 4"/>
      <sheetName val="EJE 3"/>
      <sheetName val="EJE 2"/>
      <sheetName val="EJE 1"/>
      <sheetName val="PROYECCION DE INGRESOS"/>
      <sheetName val="PLAN PLURIANUAL TORO 2008-2011"/>
    </sheetNames>
    <sheetDataSet>
      <sheetData sheetId="0">
        <row r="169">
          <cell r="M169">
            <v>107296617.35520001</v>
          </cell>
        </row>
        <row r="197">
          <cell r="M197">
            <v>34893208.896</v>
          </cell>
        </row>
        <row r="201">
          <cell r="M201">
            <v>126487882.248</v>
          </cell>
        </row>
        <row r="277">
          <cell r="M277">
            <v>422238459.5173596</v>
          </cell>
        </row>
        <row r="306">
          <cell r="M306">
            <v>229358248.0765802</v>
          </cell>
        </row>
        <row r="362">
          <cell r="M362">
            <v>130849537.7216511</v>
          </cell>
        </row>
        <row r="418">
          <cell r="M418">
            <v>315957971.66007113</v>
          </cell>
        </row>
      </sheetData>
      <sheetData sheetId="1">
        <row r="140">
          <cell r="M140">
            <v>174466048.8416511</v>
          </cell>
        </row>
        <row r="253">
          <cell r="M253">
            <v>277317376.0631274</v>
          </cell>
        </row>
      </sheetData>
      <sheetData sheetId="2">
        <row r="10">
          <cell r="M10">
            <v>1391017820.6172023</v>
          </cell>
        </row>
        <row r="226">
          <cell r="M226">
            <v>387002573.14009416</v>
          </cell>
        </row>
        <row r="266">
          <cell r="M266">
            <v>63243941.124</v>
          </cell>
        </row>
        <row r="333">
          <cell r="M333">
            <v>508373815.5535604</v>
          </cell>
        </row>
        <row r="377">
          <cell r="M377">
            <v>9458606767.087246</v>
          </cell>
        </row>
        <row r="425">
          <cell r="M425">
            <v>262357300.93591636</v>
          </cell>
        </row>
        <row r="456">
          <cell r="M456">
            <v>271118091.551224</v>
          </cell>
        </row>
      </sheetData>
      <sheetData sheetId="3">
        <row r="49">
          <cell r="W49">
            <v>2277898336.6607895</v>
          </cell>
        </row>
        <row r="100">
          <cell r="W100">
            <v>136800884.17609286</v>
          </cell>
        </row>
        <row r="112">
          <cell r="W112">
            <v>389764095.84019256</v>
          </cell>
        </row>
        <row r="138">
          <cell r="W138">
            <v>989075057.1173167</v>
          </cell>
        </row>
        <row r="220">
          <cell r="W220">
            <v>130718683.82664001</v>
          </cell>
        </row>
      </sheetData>
      <sheetData sheetId="5">
        <row r="3">
          <cell r="I3">
            <v>232135634.10177284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75" zoomScaleNormal="75" zoomScalePageLayoutView="0" workbookViewId="0" topLeftCell="C2">
      <selection activeCell="V8" sqref="V8"/>
    </sheetView>
  </sheetViews>
  <sheetFormatPr defaultColWidth="11.421875" defaultRowHeight="15"/>
  <cols>
    <col min="1" max="1" width="26.28125" style="88" hidden="1" customWidth="1"/>
    <col min="2" max="2" width="7.8515625" style="88" hidden="1" customWidth="1"/>
    <col min="3" max="3" width="26.7109375" style="88" customWidth="1"/>
    <col min="4" max="4" width="7.28125" style="88" hidden="1" customWidth="1"/>
    <col min="5" max="5" width="29.57421875" style="88" hidden="1" customWidth="1"/>
    <col min="6" max="6" width="8.57421875" style="88" hidden="1" customWidth="1"/>
    <col min="7" max="7" width="20.7109375" style="88" customWidth="1"/>
    <col min="8" max="8" width="24.7109375" style="88" hidden="1" customWidth="1"/>
    <col min="9" max="9" width="9.28125" style="88" customWidth="1"/>
    <col min="10" max="10" width="18.7109375" style="88" customWidth="1"/>
    <col min="11" max="12" width="0" style="88" hidden="1" customWidth="1"/>
    <col min="13" max="13" width="47.28125" style="88" hidden="1" customWidth="1"/>
    <col min="14" max="14" width="21.57421875" style="88" hidden="1" customWidth="1"/>
    <col min="15" max="15" width="18.57421875" style="88" hidden="1" customWidth="1"/>
    <col min="16" max="16" width="14.28125" style="88" hidden="1" customWidth="1"/>
    <col min="17" max="17" width="21.7109375" style="88" hidden="1" customWidth="1"/>
    <col min="18" max="19" width="14.28125" style="88" hidden="1" customWidth="1"/>
    <col min="20" max="20" width="20.140625" style="88" customWidth="1"/>
    <col min="21" max="16384" width="11.421875" style="41" customWidth="1"/>
  </cols>
  <sheetData>
    <row r="1" spans="1:20" ht="15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52"/>
    </row>
    <row r="2" spans="1:20" ht="15">
      <c r="A2" s="131" t="s">
        <v>130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53"/>
    </row>
    <row r="3" spans="1:20" ht="15">
      <c r="A3" s="133" t="s">
        <v>131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54"/>
    </row>
    <row r="5" spans="1:20" s="122" customFormat="1" ht="15">
      <c r="A5" s="90" t="s">
        <v>0</v>
      </c>
      <c r="B5" s="90" t="s">
        <v>1</v>
      </c>
      <c r="C5" s="90" t="s">
        <v>2</v>
      </c>
      <c r="D5" s="90" t="s">
        <v>1</v>
      </c>
      <c r="E5" s="90" t="s">
        <v>41</v>
      </c>
      <c r="F5" s="90" t="s">
        <v>116</v>
      </c>
      <c r="G5" s="90" t="s">
        <v>118</v>
      </c>
      <c r="H5" s="90" t="s">
        <v>117</v>
      </c>
      <c r="I5" s="90" t="s">
        <v>58</v>
      </c>
      <c r="J5" s="90" t="s">
        <v>5</v>
      </c>
      <c r="K5" s="91"/>
      <c r="L5" s="91"/>
      <c r="M5" s="91"/>
      <c r="N5" s="91"/>
      <c r="O5" s="91"/>
      <c r="P5" s="91"/>
      <c r="Q5" s="91"/>
      <c r="R5" s="91"/>
      <c r="S5" s="91"/>
      <c r="T5" s="90" t="s">
        <v>122</v>
      </c>
    </row>
    <row r="6" ht="15" hidden="1">
      <c r="T6" s="92"/>
    </row>
    <row r="7" spans="1:20" ht="15" hidden="1">
      <c r="A7" s="92"/>
      <c r="B7" s="92"/>
      <c r="C7" s="92"/>
      <c r="D7" s="92"/>
      <c r="E7" s="92"/>
      <c r="F7" s="92"/>
      <c r="G7" s="89"/>
      <c r="M7" s="92" t="s">
        <v>2</v>
      </c>
      <c r="N7" s="92"/>
      <c r="O7" s="93" t="s">
        <v>46</v>
      </c>
      <c r="P7" s="92"/>
      <c r="Q7" s="92"/>
      <c r="R7" s="92"/>
      <c r="S7" s="94"/>
      <c r="T7" s="92"/>
    </row>
    <row r="8" spans="1:20" ht="29.25" customHeight="1">
      <c r="A8" s="95" t="s">
        <v>3</v>
      </c>
      <c r="B8" s="126">
        <v>24</v>
      </c>
      <c r="C8" s="96" t="s">
        <v>60</v>
      </c>
      <c r="D8" s="97">
        <v>40</v>
      </c>
      <c r="E8" s="98" t="s">
        <v>62</v>
      </c>
      <c r="F8" s="97">
        <v>40</v>
      </c>
      <c r="G8" s="99">
        <f>+'[1]EJE 1'!$W$49</f>
        <v>2277898336.6607895</v>
      </c>
      <c r="H8" s="100">
        <f>+'año 2008'!G8+'año 2010'!G8+'año 2009'!G8+'año 2011'!G8</f>
        <v>3513060376</v>
      </c>
      <c r="I8" s="99">
        <f>J8/G8*100</f>
        <v>94.89909664576518</v>
      </c>
      <c r="J8" s="99">
        <f>+'año 2008'!I8+'año 2010'!I8+'año 2009'!I8+'año 2011'!J8</f>
        <v>2161704944</v>
      </c>
      <c r="M8" s="92"/>
      <c r="N8" s="92" t="s">
        <v>56</v>
      </c>
      <c r="O8" s="92" t="s">
        <v>5</v>
      </c>
      <c r="P8" s="92" t="s">
        <v>19</v>
      </c>
      <c r="Q8" s="92" t="s">
        <v>47</v>
      </c>
      <c r="R8" s="92" t="s">
        <v>48</v>
      </c>
      <c r="S8" s="94" t="s">
        <v>49</v>
      </c>
      <c r="T8" s="92"/>
    </row>
    <row r="9" spans="1:20" ht="30">
      <c r="A9" s="92"/>
      <c r="B9" s="127"/>
      <c r="C9" s="101" t="s">
        <v>97</v>
      </c>
      <c r="D9" s="97">
        <v>5</v>
      </c>
      <c r="E9" s="98" t="s">
        <v>59</v>
      </c>
      <c r="F9" s="97">
        <v>5</v>
      </c>
      <c r="G9" s="99">
        <f>+'[1]EJE 1'!$W$100</f>
        <v>136800884.17609286</v>
      </c>
      <c r="H9" s="100">
        <f>+'año 2008'!G9+'año 2010'!G9+'año 2009'!G9+'año 2011'!G9</f>
        <v>141853186</v>
      </c>
      <c r="I9" s="99">
        <f>J9/G9*100</f>
        <v>89.83508530676369</v>
      </c>
      <c r="J9" s="99">
        <f>+'año 2008'!I9+'año 2010'!I9+'año 2009'!I9+'año 2011'!J9</f>
        <v>122895191</v>
      </c>
      <c r="M9" s="92" t="s">
        <v>16</v>
      </c>
      <c r="N9" s="99">
        <v>88534792</v>
      </c>
      <c r="O9" s="99">
        <v>75398361</v>
      </c>
      <c r="P9" s="100">
        <v>85.16240824285214</v>
      </c>
      <c r="Q9" s="92">
        <v>5600000</v>
      </c>
      <c r="R9" s="92">
        <v>58845991</v>
      </c>
      <c r="S9" s="94">
        <v>10952370</v>
      </c>
      <c r="T9" s="92"/>
    </row>
    <row r="10" spans="1:20" ht="63.75" customHeight="1">
      <c r="A10" s="92"/>
      <c r="B10" s="127"/>
      <c r="C10" s="102" t="s">
        <v>96</v>
      </c>
      <c r="D10" s="97">
        <v>9</v>
      </c>
      <c r="E10" s="98" t="s">
        <v>61</v>
      </c>
      <c r="F10" s="97">
        <v>9</v>
      </c>
      <c r="G10" s="97">
        <v>0</v>
      </c>
      <c r="H10" s="99">
        <v>0</v>
      </c>
      <c r="I10" s="99"/>
      <c r="J10" s="99">
        <f>+'año 2008'!I10+'año 2010'!I10+'año 2009'!I10+'año 2011'!J10</f>
        <v>0</v>
      </c>
      <c r="K10" s="91" t="s">
        <v>43</v>
      </c>
      <c r="M10" s="92" t="s">
        <v>12</v>
      </c>
      <c r="N10" s="99">
        <v>619656142</v>
      </c>
      <c r="O10" s="99">
        <v>545807830</v>
      </c>
      <c r="P10" s="100">
        <v>88.08237235870084</v>
      </c>
      <c r="Q10" s="92">
        <v>3066100</v>
      </c>
      <c r="R10" s="92">
        <v>339668153</v>
      </c>
      <c r="S10" s="94">
        <v>203073577</v>
      </c>
      <c r="T10" s="103" t="s">
        <v>125</v>
      </c>
    </row>
    <row r="11" spans="1:20" ht="32.25" customHeight="1">
      <c r="A11" s="92"/>
      <c r="B11" s="127"/>
      <c r="C11" s="92" t="s">
        <v>98</v>
      </c>
      <c r="D11" s="97">
        <v>4</v>
      </c>
      <c r="E11" s="98" t="s">
        <v>63</v>
      </c>
      <c r="F11" s="97">
        <v>4</v>
      </c>
      <c r="G11" s="99">
        <f>+'[1]EJE 1'!$W$138</f>
        <v>989075057.1173167</v>
      </c>
      <c r="H11" s="100">
        <f>+'año 2008'!G11+'año 2010'!G11+'año 2009'!G11+'año 2011'!G11</f>
        <v>1888948525</v>
      </c>
      <c r="I11" s="99">
        <f>J11/G11*100</f>
        <v>157.87044984744688</v>
      </c>
      <c r="J11" s="99">
        <f>+'año 2008'!I11+'año 2010'!I11+'año 2009'!I11+'año 2011'!J11</f>
        <v>1561457242</v>
      </c>
      <c r="M11" s="92" t="s">
        <v>50</v>
      </c>
      <c r="N11" s="99">
        <v>687091731</v>
      </c>
      <c r="O11" s="99">
        <v>199686446</v>
      </c>
      <c r="P11" s="100">
        <v>29.062559843264946</v>
      </c>
      <c r="Q11" s="92">
        <v>0</v>
      </c>
      <c r="R11" s="92">
        <v>199686446</v>
      </c>
      <c r="S11" s="94">
        <v>0</v>
      </c>
      <c r="T11" s="92"/>
    </row>
    <row r="12" spans="1:20" ht="60">
      <c r="A12" s="92"/>
      <c r="B12" s="127"/>
      <c r="C12" s="102" t="s">
        <v>99</v>
      </c>
      <c r="D12" s="97">
        <v>22</v>
      </c>
      <c r="E12" s="98" t="s">
        <v>64</v>
      </c>
      <c r="F12" s="97">
        <v>22</v>
      </c>
      <c r="G12" s="99">
        <f>+'[1]EJE 1'!$W$112</f>
        <v>389764095.84019256</v>
      </c>
      <c r="H12" s="100">
        <f>+'año 2008'!G12+'año 2010'!G12+'año 2009'!G12+'año 2011'!G12</f>
        <v>382946118</v>
      </c>
      <c r="I12" s="99">
        <f>J12/G12*100</f>
        <v>89.20693458192704</v>
      </c>
      <c r="J12" s="99">
        <f>+'año 2008'!I12+'año 2010'!I12+'año 2009'!I12+'año 2011'!J12</f>
        <v>347696602</v>
      </c>
      <c r="M12" s="92" t="s">
        <v>8</v>
      </c>
      <c r="N12" s="99">
        <v>87028054</v>
      </c>
      <c r="O12" s="99">
        <v>80231054</v>
      </c>
      <c r="P12" s="100">
        <v>92.18987477302434</v>
      </c>
      <c r="Q12" s="92">
        <v>0</v>
      </c>
      <c r="R12" s="92">
        <v>80231054</v>
      </c>
      <c r="S12" s="94">
        <v>0</v>
      </c>
      <c r="T12" s="92"/>
    </row>
    <row r="13" spans="1:20" ht="27" customHeight="1">
      <c r="A13" s="92"/>
      <c r="B13" s="127"/>
      <c r="C13" s="96" t="s">
        <v>119</v>
      </c>
      <c r="D13" s="97">
        <v>20</v>
      </c>
      <c r="E13" s="98" t="s">
        <v>65</v>
      </c>
      <c r="F13" s="97">
        <v>20</v>
      </c>
      <c r="G13" s="99">
        <f>+'[1]EJE 1'!$W$220</f>
        <v>130718683.82664001</v>
      </c>
      <c r="H13" s="100">
        <f>+'año 2008'!G14+'año 2010'!G13+'año 2009'!G14+'año 2011'!G13</f>
        <v>61317019</v>
      </c>
      <c r="I13" s="99">
        <f>J13/G13*100</f>
        <v>32.622940922932735</v>
      </c>
      <c r="J13" s="99">
        <f>+'año 2008'!I14+'año 2010'!I14+'año 2009'!I14+'año 2011'!J13</f>
        <v>42644279</v>
      </c>
      <c r="M13" s="92" t="s">
        <v>13</v>
      </c>
      <c r="N13" s="99">
        <v>323438594</v>
      </c>
      <c r="O13" s="99">
        <v>316378997</v>
      </c>
      <c r="P13" s="100">
        <v>97.81733004936325</v>
      </c>
      <c r="Q13" s="92">
        <v>61816990</v>
      </c>
      <c r="R13" s="92">
        <v>134562007</v>
      </c>
      <c r="S13" s="94">
        <v>120000000</v>
      </c>
      <c r="T13" s="92"/>
    </row>
    <row r="14" spans="1:20" ht="24">
      <c r="A14" s="92"/>
      <c r="B14" s="104"/>
      <c r="C14" s="105" t="s">
        <v>115</v>
      </c>
      <c r="D14" s="92"/>
      <c r="E14" s="92"/>
      <c r="F14" s="92"/>
      <c r="G14" s="106">
        <f>SUM(G8:G13)</f>
        <v>3924257057.6210318</v>
      </c>
      <c r="H14" s="107">
        <f>SUM(H8:H13)</f>
        <v>5988125224</v>
      </c>
      <c r="I14" s="108">
        <f>J14/G14*100</f>
        <v>107.95414764618387</v>
      </c>
      <c r="J14" s="108">
        <f>SUM(J8:J13)</f>
        <v>4236398258</v>
      </c>
      <c r="M14" s="92" t="s">
        <v>27</v>
      </c>
      <c r="N14" s="99">
        <v>0</v>
      </c>
      <c r="O14" s="99">
        <v>0</v>
      </c>
      <c r="P14" s="100" t="e">
        <v>#DIV/0!</v>
      </c>
      <c r="Q14" s="92">
        <v>0</v>
      </c>
      <c r="R14" s="92">
        <v>0</v>
      </c>
      <c r="S14" s="94">
        <v>0</v>
      </c>
      <c r="T14" s="109" t="s">
        <v>123</v>
      </c>
    </row>
    <row r="15" spans="1:20" ht="15" hidden="1">
      <c r="A15" s="92"/>
      <c r="B15" s="104"/>
      <c r="C15" s="110"/>
      <c r="D15" s="92"/>
      <c r="E15" s="92"/>
      <c r="F15" s="92"/>
      <c r="G15" s="92"/>
      <c r="H15" s="99"/>
      <c r="I15" s="99"/>
      <c r="J15" s="99"/>
      <c r="M15" s="92" t="s">
        <v>51</v>
      </c>
      <c r="N15" s="99">
        <v>32076953</v>
      </c>
      <c r="O15" s="99">
        <v>24777660</v>
      </c>
      <c r="P15" s="100">
        <v>77.24443153936721</v>
      </c>
      <c r="Q15" s="92">
        <v>0</v>
      </c>
      <c r="R15" s="92">
        <v>24777660</v>
      </c>
      <c r="S15" s="94">
        <v>0</v>
      </c>
      <c r="T15" s="92"/>
    </row>
    <row r="16" spans="1:20" ht="15">
      <c r="A16" s="92"/>
      <c r="B16" s="104"/>
      <c r="C16" s="110"/>
      <c r="D16" s="92"/>
      <c r="E16" s="92"/>
      <c r="F16" s="92"/>
      <c r="G16" s="92"/>
      <c r="H16" s="100"/>
      <c r="I16" s="99"/>
      <c r="J16" s="99"/>
      <c r="M16" s="92" t="s">
        <v>6</v>
      </c>
      <c r="N16" s="99"/>
      <c r="O16" s="99">
        <v>0</v>
      </c>
      <c r="P16" s="100" t="e">
        <v>#DIV/0!</v>
      </c>
      <c r="Q16" s="92"/>
      <c r="R16" s="92"/>
      <c r="S16" s="94"/>
      <c r="T16" s="92"/>
    </row>
    <row r="17" spans="1:20" ht="30">
      <c r="A17" s="95" t="s">
        <v>9</v>
      </c>
      <c r="B17" s="126">
        <v>51</v>
      </c>
      <c r="C17" s="102" t="s">
        <v>88</v>
      </c>
      <c r="D17" s="97">
        <v>24</v>
      </c>
      <c r="E17" s="98" t="s">
        <v>67</v>
      </c>
      <c r="F17" s="97">
        <v>24</v>
      </c>
      <c r="G17" s="99">
        <f>+'[1]EJE 2'!$M$10</f>
        <v>1391017820.6172023</v>
      </c>
      <c r="H17" s="100">
        <f>+'año 2008'!G17+'año 2010'!G18+'año 2009'!G18+'año 2011'!G18</f>
        <v>2465389585</v>
      </c>
      <c r="I17" s="99">
        <f aca="true" t="shared" si="0" ref="I17:I24">J17/G17*100</f>
        <v>141.8883629488127</v>
      </c>
      <c r="J17" s="99">
        <f>+'año 2008'!I17+'año 2010'!I18+'año 2009'!I18+'año 2011'!J18</f>
        <v>1973692414</v>
      </c>
      <c r="M17" s="92" t="s">
        <v>30</v>
      </c>
      <c r="N17" s="99">
        <v>127710766</v>
      </c>
      <c r="O17" s="99">
        <v>100058433</v>
      </c>
      <c r="P17" s="100">
        <v>78.34768840083537</v>
      </c>
      <c r="Q17" s="92">
        <v>63366057</v>
      </c>
      <c r="R17" s="92">
        <v>36692376</v>
      </c>
      <c r="S17" s="94">
        <v>0</v>
      </c>
      <c r="T17" s="92"/>
    </row>
    <row r="18" spans="1:20" ht="15">
      <c r="A18" s="92"/>
      <c r="B18" s="127"/>
      <c r="C18" s="101" t="s">
        <v>89</v>
      </c>
      <c r="D18" s="97">
        <v>4</v>
      </c>
      <c r="E18" s="92" t="s">
        <v>68</v>
      </c>
      <c r="F18" s="97">
        <v>4</v>
      </c>
      <c r="G18" s="99">
        <f>+'[1]PLAN PLURIANUAL TORO 2008-2011'!$I$3</f>
        <v>232135634.10177284</v>
      </c>
      <c r="H18" s="100">
        <f>+'año 2008'!G18+'año 2010'!G19+'año 2009'!G19+'año 2011'!G19</f>
        <v>317574135</v>
      </c>
      <c r="I18" s="99">
        <f t="shared" si="0"/>
        <v>112.97169261183981</v>
      </c>
      <c r="J18" s="99">
        <f>+'año 2008'!I18+'año 2010'!I19+'año 2009'!I19+'año 2011'!J19</f>
        <v>262247555</v>
      </c>
      <c r="M18" s="92" t="s">
        <v>31</v>
      </c>
      <c r="N18" s="99">
        <v>848697</v>
      </c>
      <c r="O18" s="99">
        <v>0</v>
      </c>
      <c r="P18" s="100">
        <v>0</v>
      </c>
      <c r="Q18" s="92">
        <v>0</v>
      </c>
      <c r="R18" s="92">
        <v>0</v>
      </c>
      <c r="S18" s="94">
        <v>0</v>
      </c>
      <c r="T18" s="92"/>
    </row>
    <row r="19" spans="1:20" ht="45">
      <c r="A19" s="92"/>
      <c r="B19" s="127"/>
      <c r="C19" s="101" t="s">
        <v>90</v>
      </c>
      <c r="D19" s="97">
        <v>30</v>
      </c>
      <c r="E19" s="98" t="s">
        <v>69</v>
      </c>
      <c r="F19" s="97">
        <v>30</v>
      </c>
      <c r="G19" s="99">
        <f>+'[1]EJE 2'!$M$377</f>
        <v>9458606767.087246</v>
      </c>
      <c r="H19" s="100">
        <f>+'año 2008'!G19+'año 2010'!G20+'año 2009'!G20+'año 2011'!G20</f>
        <v>12606581254</v>
      </c>
      <c r="I19" s="99">
        <f t="shared" si="0"/>
        <v>110.64142803161181</v>
      </c>
      <c r="J19" s="99">
        <f>+'año 2008'!I19+'año 2010'!I20+'año 2009'!I20+'año 2011'!J20</f>
        <v>10465137599</v>
      </c>
      <c r="M19" s="92" t="s">
        <v>44</v>
      </c>
      <c r="N19" s="99">
        <v>20800448</v>
      </c>
      <c r="O19" s="99">
        <v>15828170</v>
      </c>
      <c r="P19" s="100">
        <v>76.09533217746079</v>
      </c>
      <c r="Q19" s="92">
        <v>13513412</v>
      </c>
      <c r="R19" s="92">
        <v>2314758</v>
      </c>
      <c r="S19" s="94">
        <v>0</v>
      </c>
      <c r="T19" s="92"/>
    </row>
    <row r="20" spans="1:20" ht="60">
      <c r="A20" s="92"/>
      <c r="B20" s="127"/>
      <c r="C20" s="102" t="s">
        <v>91</v>
      </c>
      <c r="D20" s="97">
        <v>7</v>
      </c>
      <c r="E20" s="98" t="s">
        <v>70</v>
      </c>
      <c r="F20" s="97">
        <v>7</v>
      </c>
      <c r="G20" s="99">
        <f>+'[1]EJE 2'!$M$333</f>
        <v>508373815.5535604</v>
      </c>
      <c r="H20" s="100">
        <f>+'año 2008'!G20+'año 2010'!G21+'año 2009'!G21+'año 2011'!G21</f>
        <v>456721259</v>
      </c>
      <c r="I20" s="99">
        <f t="shared" si="0"/>
        <v>44.21769161246599</v>
      </c>
      <c r="J20" s="99">
        <f>+'año 2008'!I20+'año 2010'!I21+'año 2009'!I21+'año 2011'!J21</f>
        <v>224791166</v>
      </c>
      <c r="M20" s="92" t="s">
        <v>33</v>
      </c>
      <c r="N20" s="99">
        <v>165707564</v>
      </c>
      <c r="O20" s="99">
        <v>97951665</v>
      </c>
      <c r="P20" s="100">
        <v>59.111161033059425</v>
      </c>
      <c r="Q20" s="92">
        <v>18361800</v>
      </c>
      <c r="R20" s="92">
        <v>79589865</v>
      </c>
      <c r="S20" s="94">
        <v>0</v>
      </c>
      <c r="T20" s="92"/>
    </row>
    <row r="21" spans="1:20" ht="30">
      <c r="A21" s="92"/>
      <c r="B21" s="127"/>
      <c r="C21" s="102" t="s">
        <v>92</v>
      </c>
      <c r="D21" s="97">
        <v>10</v>
      </c>
      <c r="E21" s="98" t="s">
        <v>71</v>
      </c>
      <c r="F21" s="97">
        <v>10</v>
      </c>
      <c r="G21" s="99">
        <f>+'[1]EJE 2'!$M$425</f>
        <v>262357300.93591636</v>
      </c>
      <c r="H21" s="100">
        <f>+'año 2008'!G21+'año 2010'!G22+'año 2009'!G22+'año 2011'!G22</f>
        <v>473244614</v>
      </c>
      <c r="I21" s="99">
        <f t="shared" si="0"/>
        <v>153.35815453379644</v>
      </c>
      <c r="J21" s="99">
        <f>+'año 2008'!I21+'año 2010'!I22+'año 2009'!I22+'año 2011'!J22</f>
        <v>402346315</v>
      </c>
      <c r="M21" s="92" t="s">
        <v>52</v>
      </c>
      <c r="N21" s="99">
        <v>54000000</v>
      </c>
      <c r="O21" s="99">
        <v>39715206</v>
      </c>
      <c r="P21" s="100">
        <v>73.54667777777777</v>
      </c>
      <c r="Q21" s="92">
        <v>0</v>
      </c>
      <c r="R21" s="92">
        <v>39715206</v>
      </c>
      <c r="S21" s="94">
        <v>0</v>
      </c>
      <c r="T21" s="92"/>
    </row>
    <row r="22" spans="1:20" ht="30">
      <c r="A22" s="92"/>
      <c r="B22" s="127"/>
      <c r="C22" s="102" t="s">
        <v>93</v>
      </c>
      <c r="D22" s="97">
        <v>10</v>
      </c>
      <c r="E22" s="98" t="s">
        <v>72</v>
      </c>
      <c r="F22" s="97">
        <v>10</v>
      </c>
      <c r="G22" s="99">
        <f>+'[1]EJE 2'!$M$456</f>
        <v>271118091.551224</v>
      </c>
      <c r="H22" s="100">
        <f>+'año 2008'!G22+'año 2010'!G23+'año 2009'!G23+'año 2011'!G23</f>
        <v>504085324</v>
      </c>
      <c r="I22" s="99">
        <f t="shared" si="0"/>
        <v>177.07560427751642</v>
      </c>
      <c r="J22" s="99">
        <f>+'año 2008'!I22+'año 2010'!I23+'año 2009'!I23+'año 2011'!J23</f>
        <v>480083998.92</v>
      </c>
      <c r="M22" s="92" t="s">
        <v>53</v>
      </c>
      <c r="N22" s="99">
        <v>468468094</v>
      </c>
      <c r="O22" s="99">
        <v>354344830</v>
      </c>
      <c r="P22" s="100">
        <v>75.63905301947842</v>
      </c>
      <c r="Q22" s="92">
        <v>0</v>
      </c>
      <c r="R22" s="92">
        <v>354344830</v>
      </c>
      <c r="S22" s="94">
        <v>0</v>
      </c>
      <c r="T22" s="92"/>
    </row>
    <row r="23" spans="1:20" ht="30">
      <c r="A23" s="92"/>
      <c r="B23" s="127"/>
      <c r="C23" s="101" t="s">
        <v>94</v>
      </c>
      <c r="D23" s="97">
        <v>15</v>
      </c>
      <c r="E23" s="98" t="s">
        <v>74</v>
      </c>
      <c r="F23" s="97">
        <v>15</v>
      </c>
      <c r="G23" s="99">
        <f>+'[1]EJE 2'!$M$226</f>
        <v>387002573.14009416</v>
      </c>
      <c r="H23" s="100">
        <f>+'año 2008'!G23+'año 2010'!G24+'año 2009'!G24+'año 2011'!G24</f>
        <v>810214397</v>
      </c>
      <c r="I23" s="99">
        <f t="shared" si="0"/>
        <v>151.34717302976986</v>
      </c>
      <c r="J23" s="99">
        <f>+'año 2008'!I23+'año 2010'!I24+'año 2009'!I24+'año 2011'!J24</f>
        <v>585717454</v>
      </c>
      <c r="M23" s="92" t="s">
        <v>36</v>
      </c>
      <c r="N23" s="99">
        <v>141486440</v>
      </c>
      <c r="O23" s="99">
        <v>130141339</v>
      </c>
      <c r="P23" s="100">
        <v>91.98149236068134</v>
      </c>
      <c r="Q23" s="92">
        <v>5342071</v>
      </c>
      <c r="R23" s="92">
        <v>63146960</v>
      </c>
      <c r="S23" s="94">
        <v>61652308</v>
      </c>
      <c r="T23" s="92"/>
    </row>
    <row r="24" spans="1:20" ht="15">
      <c r="A24" s="92"/>
      <c r="B24" s="128"/>
      <c r="C24" s="101" t="s">
        <v>110</v>
      </c>
      <c r="D24" s="97"/>
      <c r="E24" s="92" t="s">
        <v>73</v>
      </c>
      <c r="F24" s="97"/>
      <c r="G24" s="99">
        <f>+'[1]EJE 2'!$M$266</f>
        <v>63243941.124</v>
      </c>
      <c r="H24" s="100">
        <f>+'año 2008'!G24+'año 2010'!G25+'año 2009'!G25+'año 2011'!G25</f>
        <v>45300448</v>
      </c>
      <c r="I24" s="99">
        <f t="shared" si="0"/>
        <v>52.6505296921856</v>
      </c>
      <c r="J24" s="99">
        <f>+'año 2008'!I24+'año 2010'!I25+'año 2009'!I25+'año 2011'!J25</f>
        <v>33298270</v>
      </c>
      <c r="M24" s="92" t="s">
        <v>10</v>
      </c>
      <c r="N24" s="99">
        <v>89371213</v>
      </c>
      <c r="O24" s="99">
        <v>82119274</v>
      </c>
      <c r="P24" s="100">
        <v>91.88559855397733</v>
      </c>
      <c r="Q24" s="92">
        <v>16743950</v>
      </c>
      <c r="R24" s="92">
        <v>65375324</v>
      </c>
      <c r="S24" s="94">
        <v>0</v>
      </c>
      <c r="T24" s="92"/>
    </row>
    <row r="25" spans="1:20" ht="24">
      <c r="A25" s="92"/>
      <c r="B25" s="104"/>
      <c r="C25" s="105" t="s">
        <v>115</v>
      </c>
      <c r="D25" s="92"/>
      <c r="E25" s="92"/>
      <c r="F25" s="92"/>
      <c r="G25" s="106">
        <f>SUM(G17:G24)</f>
        <v>12573855944.111017</v>
      </c>
      <c r="H25" s="107">
        <f>SUM(H17:H24)</f>
        <v>17679111016</v>
      </c>
      <c r="I25" s="108">
        <f>J25/G25*100</f>
        <v>114.74057628819148</v>
      </c>
      <c r="J25" s="108">
        <f>SUM(J17:J24)</f>
        <v>14427314771.92</v>
      </c>
      <c r="M25" s="92" t="s">
        <v>37</v>
      </c>
      <c r="N25" s="99">
        <v>100515085</v>
      </c>
      <c r="O25" s="99">
        <v>51100871</v>
      </c>
      <c r="P25" s="100">
        <v>50.83900640386465</v>
      </c>
      <c r="Q25" s="92">
        <v>22500000</v>
      </c>
      <c r="R25" s="92">
        <v>28600870.5</v>
      </c>
      <c r="S25" s="94">
        <v>0</v>
      </c>
      <c r="T25" s="109" t="s">
        <v>123</v>
      </c>
    </row>
    <row r="26" spans="1:20" ht="15">
      <c r="A26" s="92"/>
      <c r="B26" s="104"/>
      <c r="C26" s="101"/>
      <c r="D26" s="92"/>
      <c r="E26" s="92"/>
      <c r="F26" s="92"/>
      <c r="G26" s="92"/>
      <c r="H26" s="108"/>
      <c r="I26" s="99"/>
      <c r="J26" s="108"/>
      <c r="M26" s="92" t="s">
        <v>54</v>
      </c>
      <c r="N26" s="99">
        <v>52050774</v>
      </c>
      <c r="O26" s="99">
        <v>44968012</v>
      </c>
      <c r="P26" s="100">
        <v>86.39259043487039</v>
      </c>
      <c r="Q26" s="92">
        <v>22092022</v>
      </c>
      <c r="R26" s="92">
        <v>0</v>
      </c>
      <c r="S26" s="94">
        <v>22875990</v>
      </c>
      <c r="T26" s="92"/>
    </row>
    <row r="27" spans="1:20" ht="47.25" customHeight="1">
      <c r="A27" s="95" t="s">
        <v>15</v>
      </c>
      <c r="B27" s="126">
        <v>10</v>
      </c>
      <c r="C27" s="111" t="s">
        <v>86</v>
      </c>
      <c r="D27" s="92">
        <v>30</v>
      </c>
      <c r="E27" s="112" t="s">
        <v>75</v>
      </c>
      <c r="F27" s="92">
        <v>30</v>
      </c>
      <c r="G27" s="99">
        <f>+'[1]EJE 3'!$M$140</f>
        <v>174466048.8416511</v>
      </c>
      <c r="H27" s="113">
        <f>+'año 2008'!G27+'año 2010'!G28+'año 2009'!G28+'año 2011'!G28</f>
        <v>146231577</v>
      </c>
      <c r="I27" s="99">
        <f aca="true" t="shared" si="1" ref="I27:I35">J27/G27*100</f>
        <v>42.455486033977756</v>
      </c>
      <c r="J27" s="99">
        <f>+'año 2008'!I27+'año 2010'!I28+'año 2009'!I28+'año 2011'!J28</f>
        <v>74070409</v>
      </c>
      <c r="M27" s="92" t="s">
        <v>11</v>
      </c>
      <c r="N27" s="99">
        <v>3752917667</v>
      </c>
      <c r="O27" s="99">
        <v>3002972956</v>
      </c>
      <c r="P27" s="100">
        <v>80.0170220201103</v>
      </c>
      <c r="Q27" s="92">
        <v>0</v>
      </c>
      <c r="R27" s="92">
        <v>1608628569</v>
      </c>
      <c r="S27" s="94">
        <v>1394344387</v>
      </c>
      <c r="T27" s="92"/>
    </row>
    <row r="28" spans="1:20" ht="45">
      <c r="A28" s="92"/>
      <c r="B28" s="128"/>
      <c r="C28" s="102" t="s">
        <v>87</v>
      </c>
      <c r="D28" s="92">
        <v>70</v>
      </c>
      <c r="E28" s="98" t="s">
        <v>76</v>
      </c>
      <c r="F28" s="92">
        <v>70</v>
      </c>
      <c r="G28" s="99">
        <f>+'[1]EJE 3'!$M$253</f>
        <v>277317376.0631274</v>
      </c>
      <c r="H28" s="114">
        <f>+'año 2008'!G28+'año 2010'!G29+'año 2009'!G29+'año 2011'!G29</f>
        <v>191518085</v>
      </c>
      <c r="I28" s="99">
        <f t="shared" si="1"/>
        <v>53.41814281636593</v>
      </c>
      <c r="J28" s="99">
        <f>+'año 2008'!I28+'año 2010'!I29+'año 2009'!I29+'año 2011'!J29</f>
        <v>148137792</v>
      </c>
      <c r="M28" s="92" t="s">
        <v>55</v>
      </c>
      <c r="N28" s="99">
        <v>184696588</v>
      </c>
      <c r="O28" s="99">
        <v>150273337</v>
      </c>
      <c r="P28" s="100">
        <v>81.36227021151035</v>
      </c>
      <c r="Q28" s="92">
        <v>0</v>
      </c>
      <c r="R28" s="92">
        <v>150273337</v>
      </c>
      <c r="S28" s="94">
        <v>0</v>
      </c>
      <c r="T28" s="92"/>
    </row>
    <row r="29" spans="1:20" ht="26.25" customHeight="1">
      <c r="A29" s="92"/>
      <c r="B29" s="104"/>
      <c r="C29" s="105" t="s">
        <v>115</v>
      </c>
      <c r="D29" s="92"/>
      <c r="E29" s="92"/>
      <c r="F29" s="92"/>
      <c r="G29" s="106">
        <f>SUM(G27:G28)</f>
        <v>451783424.9047785</v>
      </c>
      <c r="H29" s="115">
        <f>SUM(H27:H28)</f>
        <v>337749662</v>
      </c>
      <c r="I29" s="99">
        <f>+J29/G29*100+1</f>
        <v>50.184673175390266</v>
      </c>
      <c r="J29" s="116">
        <f>SUM(J27:J28)</f>
        <v>222208201</v>
      </c>
      <c r="M29" s="92" t="s">
        <v>7</v>
      </c>
      <c r="N29" s="99">
        <v>2547339</v>
      </c>
      <c r="O29" s="99">
        <v>0</v>
      </c>
      <c r="P29" s="100">
        <v>0</v>
      </c>
      <c r="Q29" s="92">
        <v>0</v>
      </c>
      <c r="R29" s="92">
        <v>0</v>
      </c>
      <c r="S29" s="94">
        <v>0</v>
      </c>
      <c r="T29" s="109" t="s">
        <v>124</v>
      </c>
    </row>
    <row r="30" spans="1:20" ht="15">
      <c r="A30" s="92"/>
      <c r="B30" s="104"/>
      <c r="C30" s="101"/>
      <c r="D30" s="92"/>
      <c r="E30" s="92"/>
      <c r="F30" s="92"/>
      <c r="G30" s="113"/>
      <c r="H30" s="92"/>
      <c r="I30" s="99"/>
      <c r="J30" s="99"/>
      <c r="M30" s="92" t="s">
        <v>25</v>
      </c>
      <c r="N30" s="99">
        <v>18750169</v>
      </c>
      <c r="O30" s="99">
        <v>18620524</v>
      </c>
      <c r="P30" s="100">
        <v>99.30856623212303</v>
      </c>
      <c r="Q30" s="92">
        <v>0</v>
      </c>
      <c r="R30" s="92">
        <v>18620524</v>
      </c>
      <c r="S30" s="94">
        <v>0</v>
      </c>
      <c r="T30" s="92"/>
    </row>
    <row r="31" spans="1:20" ht="30">
      <c r="A31" s="95" t="s">
        <v>14</v>
      </c>
      <c r="B31" s="126">
        <v>15</v>
      </c>
      <c r="C31" s="101" t="s">
        <v>81</v>
      </c>
      <c r="D31" s="92">
        <v>10</v>
      </c>
      <c r="E31" s="98" t="s">
        <v>79</v>
      </c>
      <c r="F31" s="92">
        <v>10</v>
      </c>
      <c r="G31" s="99">
        <f>+'[1]EJE 4'!$M$306+'[1]EJE 4'!$M$197+'[1]EJE 4'!$M$362</f>
        <v>395100994.6942313</v>
      </c>
      <c r="H31" s="100">
        <f>+'año 2008'!G31+'año 2010'!G32+'año 2009'!G32+'año 2011'!G32</f>
        <v>682145422</v>
      </c>
      <c r="I31" s="99">
        <f t="shared" si="1"/>
        <v>149.48669654883648</v>
      </c>
      <c r="J31" s="99">
        <f>+'año 2008'!I31+'año 2010'!I32+'año 2009'!I32+'año 2011'!J32</f>
        <v>590623425</v>
      </c>
      <c r="M31" s="93" t="s">
        <v>40</v>
      </c>
      <c r="N31" s="108">
        <v>7041553110</v>
      </c>
      <c r="O31" s="108">
        <f>SUM(O9:O30)</f>
        <v>5330374965</v>
      </c>
      <c r="P31" s="115">
        <v>76.03758546869783</v>
      </c>
      <c r="Q31" s="93">
        <v>232402402</v>
      </c>
      <c r="R31" s="93">
        <v>3308925930</v>
      </c>
      <c r="S31" s="117">
        <v>1812898632.3400002</v>
      </c>
      <c r="T31" s="92"/>
    </row>
    <row r="32" spans="1:20" ht="24">
      <c r="A32" s="92"/>
      <c r="B32" s="127"/>
      <c r="C32" s="96" t="s">
        <v>82</v>
      </c>
      <c r="D32" s="92">
        <v>2</v>
      </c>
      <c r="E32" s="92" t="s">
        <v>111</v>
      </c>
      <c r="F32" s="92">
        <v>2</v>
      </c>
      <c r="G32" s="99">
        <f>+'[1]EJE 4'!$M$201</f>
        <v>126487882.248</v>
      </c>
      <c r="H32" s="100">
        <f>+'año 2008'!G32+'año 2010'!G33+'año 2009'!G33+'año 2011'!G33</f>
        <v>132345753</v>
      </c>
      <c r="I32" s="99">
        <f t="shared" si="1"/>
        <v>79.87583332441912</v>
      </c>
      <c r="J32" s="99">
        <f>+'año 2008'!I32+'año 2010'!I33+'año 2009'!I33+'año 2011'!J33</f>
        <v>101033250</v>
      </c>
      <c r="T32" s="92"/>
    </row>
    <row r="33" spans="1:22" ht="30">
      <c r="A33" s="92"/>
      <c r="B33" s="127"/>
      <c r="C33" s="102" t="s">
        <v>83</v>
      </c>
      <c r="D33" s="92">
        <v>10</v>
      </c>
      <c r="E33" s="98" t="s">
        <v>112</v>
      </c>
      <c r="F33" s="92">
        <v>10</v>
      </c>
      <c r="G33" s="99">
        <f>+'[1]EJE 4'!$M$169</f>
        <v>107296617.35520001</v>
      </c>
      <c r="H33" s="100">
        <f>+'año 2008'!G33+'año 2010'!G34+'año 2009'!G34+'año 2011'!G34</f>
        <v>203116549</v>
      </c>
      <c r="I33" s="99">
        <f t="shared" si="1"/>
        <v>56.459543174092516</v>
      </c>
      <c r="J33" s="99">
        <f>+'año 2008'!I33+'año 2010'!I34+'año 2009'!I34+'año 2011'!J34</f>
        <v>60579180</v>
      </c>
      <c r="T33" s="92"/>
      <c r="V33" s="123"/>
    </row>
    <row r="34" spans="1:20" ht="30">
      <c r="A34" s="90"/>
      <c r="B34" s="127"/>
      <c r="C34" s="102" t="s">
        <v>84</v>
      </c>
      <c r="D34" s="92">
        <v>40</v>
      </c>
      <c r="E34" s="98" t="s">
        <v>77</v>
      </c>
      <c r="F34" s="92">
        <v>40</v>
      </c>
      <c r="G34" s="99">
        <f>+'[1]EJE 4'!$M$277</f>
        <v>422238459.5173596</v>
      </c>
      <c r="H34" s="100">
        <f>+'año 2008'!G34+'año 2010'!G35+'año 2009'!G35+'año 2011'!G35</f>
        <v>610807366</v>
      </c>
      <c r="I34" s="99">
        <f t="shared" si="1"/>
        <v>119.20161502467472</v>
      </c>
      <c r="J34" s="99">
        <f>+'año 2008'!I34+'año 2010'!I35+'año 2009'!I35+'año 2011'!J35</f>
        <v>503315063</v>
      </c>
      <c r="T34" s="92"/>
    </row>
    <row r="35" spans="1:20" ht="60">
      <c r="A35" s="90"/>
      <c r="B35" s="128"/>
      <c r="C35" s="102" t="s">
        <v>85</v>
      </c>
      <c r="D35" s="92">
        <v>2</v>
      </c>
      <c r="E35" s="98" t="s">
        <v>78</v>
      </c>
      <c r="F35" s="92">
        <v>2</v>
      </c>
      <c r="G35" s="99">
        <f>+'[1]EJE 4'!$M$418</f>
        <v>315957971.66007113</v>
      </c>
      <c r="H35" s="100">
        <f>+'año 2008'!G35+'año 2010'!G36+'año 2009'!G36+'año 2011'!G36</f>
        <v>595769915</v>
      </c>
      <c r="I35" s="99">
        <f t="shared" si="1"/>
        <v>170.0305392446255</v>
      </c>
      <c r="J35" s="99">
        <f>+'año 2008'!I35+'año 2010'!I36+'año 2009'!I36+'año 2011'!J36</f>
        <v>537225043</v>
      </c>
      <c r="T35" s="92"/>
    </row>
    <row r="36" spans="1:20" ht="24">
      <c r="A36" s="92"/>
      <c r="B36" s="104"/>
      <c r="C36" s="105" t="s">
        <v>115</v>
      </c>
      <c r="D36" s="92"/>
      <c r="E36" s="92"/>
      <c r="F36" s="92"/>
      <c r="G36" s="116">
        <f>SUM(G31:G35)</f>
        <v>1367081925.474862</v>
      </c>
      <c r="H36" s="118">
        <f>SUM(H31:H35)</f>
        <v>2224185005</v>
      </c>
      <c r="I36" s="108">
        <f>J36/G36*100</f>
        <v>131.13888257847248</v>
      </c>
      <c r="J36" s="119">
        <f>SUM(J31:J35)</f>
        <v>1792775961</v>
      </c>
      <c r="T36" s="109" t="s">
        <v>123</v>
      </c>
    </row>
    <row r="37" spans="1:20" ht="15">
      <c r="A37" s="92"/>
      <c r="B37" s="92"/>
      <c r="C37" s="92" t="s">
        <v>40</v>
      </c>
      <c r="D37" s="92"/>
      <c r="E37" s="92"/>
      <c r="F37" s="92"/>
      <c r="G37" s="106">
        <f>+G36+G29+G25+G14</f>
        <v>18316978352.11169</v>
      </c>
      <c r="H37" s="118">
        <f>H14+H25+H29+H36</f>
        <v>26229170907</v>
      </c>
      <c r="I37" s="108">
        <f>J37/G37*100</f>
        <v>112.89360501720545</v>
      </c>
      <c r="J37" s="119">
        <f>J14+J25+J29+J36</f>
        <v>20678697191.92</v>
      </c>
      <c r="T37" s="92"/>
    </row>
    <row r="38" spans="1:20" ht="15">
      <c r="A38" s="92"/>
      <c r="B38" s="92"/>
      <c r="C38" s="92"/>
      <c r="D38" s="92"/>
      <c r="E38" s="92"/>
      <c r="F38" s="92"/>
      <c r="G38" s="92"/>
      <c r="H38" s="92"/>
      <c r="I38" s="92"/>
      <c r="J38" s="92"/>
      <c r="T38" s="92"/>
    </row>
    <row r="40" ht="15">
      <c r="A40" s="88" t="str">
        <f>'año 2009'!A42</f>
        <v>MARIA JOSEFINA LOPEZ RAMIREZ</v>
      </c>
    </row>
    <row r="41" ht="15">
      <c r="A41" s="88" t="str">
        <f>'año 2009'!A43</f>
        <v>JEFE ASESORA  OFICINA DE PLANEACION (e)</v>
      </c>
    </row>
    <row r="42" spans="1:8" ht="15">
      <c r="A42" s="88" t="str">
        <f>'año 2009'!A44</f>
        <v>Fuente</v>
      </c>
      <c r="H42" s="120"/>
    </row>
    <row r="43" ht="15">
      <c r="A43" s="88" t="s">
        <v>120</v>
      </c>
    </row>
    <row r="44" spans="6:10" ht="15" hidden="1">
      <c r="F44" s="88">
        <v>17</v>
      </c>
      <c r="H44" s="121">
        <f>+H14/H48*100</f>
        <v>85.03983610513448</v>
      </c>
      <c r="J44" s="121">
        <f>+J14/J48*100</f>
        <v>79.12250051581442</v>
      </c>
    </row>
    <row r="45" spans="6:10" ht="15" hidden="1">
      <c r="F45" s="88">
        <v>28</v>
      </c>
      <c r="H45" s="121">
        <f>+H25/H48*100</f>
        <v>251.06834727828956</v>
      </c>
      <c r="J45" s="121">
        <f>+J25/J48*100</f>
        <v>269.456540901792</v>
      </c>
    </row>
    <row r="46" spans="6:10" ht="15" hidden="1">
      <c r="F46" s="88">
        <v>32</v>
      </c>
      <c r="H46" s="121">
        <f>+H29/H48*100</f>
        <v>4.79652225473309</v>
      </c>
      <c r="J46" s="121">
        <f>+J29/J48*100</f>
        <v>4.1501453422230865</v>
      </c>
    </row>
    <row r="47" spans="6:10" ht="15" hidden="1">
      <c r="F47" s="88">
        <v>38</v>
      </c>
      <c r="H47" s="121">
        <f>+H36/H48*100</f>
        <v>31.5865686199447</v>
      </c>
      <c r="J47" s="121">
        <f>+J36/J48*100</f>
        <v>33.483376269238896</v>
      </c>
    </row>
    <row r="48" spans="8:10" ht="15" hidden="1">
      <c r="H48" s="119">
        <v>7041553110</v>
      </c>
      <c r="J48" s="119">
        <v>5354226965</v>
      </c>
    </row>
    <row r="49" ht="15" hidden="1"/>
    <row r="50" ht="15">
      <c r="A50" s="88" t="s">
        <v>127</v>
      </c>
    </row>
    <row r="51" ht="15">
      <c r="A51" s="88" t="s">
        <v>128</v>
      </c>
    </row>
  </sheetData>
  <sheetProtection/>
  <mergeCells count="7">
    <mergeCell ref="B31:B35"/>
    <mergeCell ref="B8:B13"/>
    <mergeCell ref="B17:B24"/>
    <mergeCell ref="B27:B28"/>
    <mergeCell ref="A1:T1"/>
    <mergeCell ref="A2:T2"/>
    <mergeCell ref="A3:T3"/>
  </mergeCells>
  <printOptions/>
  <pageMargins left="0.7" right="0.7" top="0.75" bottom="0.75" header="0.3" footer="0.3"/>
  <pageSetup fitToHeight="1" fitToWidth="1" horizontalDpi="600" verticalDpi="600" orientation="landscape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" width="42.57421875" style="0" customWidth="1"/>
    <col min="2" max="2" width="7.8515625" style="0" customWidth="1"/>
    <col min="3" max="3" width="40.57421875" style="0" customWidth="1"/>
    <col min="4" max="4" width="7.28125" style="0" customWidth="1"/>
    <col min="5" max="5" width="30.140625" style="0" customWidth="1"/>
    <col min="6" max="6" width="8.57421875" style="0" customWidth="1"/>
    <col min="7" max="7" width="20.28125" style="0" customWidth="1"/>
    <col min="8" max="8" width="24.7109375" style="0" customWidth="1"/>
    <col min="9" max="9" width="9.28125" style="0" customWidth="1"/>
    <col min="10" max="10" width="20.00390625" style="0" customWidth="1"/>
    <col min="11" max="12" width="0" style="0" hidden="1" customWidth="1"/>
    <col min="13" max="13" width="47.28125" style="0" hidden="1" customWidth="1"/>
    <col min="14" max="14" width="21.57421875" style="0" hidden="1" customWidth="1"/>
    <col min="15" max="15" width="18.57421875" style="0" hidden="1" customWidth="1"/>
    <col min="16" max="16" width="14.28125" style="0" hidden="1" customWidth="1"/>
    <col min="17" max="17" width="21.7109375" style="0" hidden="1" customWidth="1"/>
    <col min="18" max="19" width="14.28125" style="0" hidden="1" customWidth="1"/>
    <col min="20" max="20" width="20.28125" style="0" bestFit="1" customWidth="1"/>
  </cols>
  <sheetData>
    <row r="1" spans="1:10" ht="15">
      <c r="A1" s="138" t="s">
        <v>103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">
      <c r="A2" s="138" t="s">
        <v>104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">
      <c r="A3" s="138" t="s">
        <v>129</v>
      </c>
      <c r="B3" s="138"/>
      <c r="C3" s="138"/>
      <c r="D3" s="138"/>
      <c r="E3" s="138"/>
      <c r="F3" s="138"/>
      <c r="G3" s="138"/>
      <c r="H3" s="138"/>
      <c r="I3" s="138"/>
      <c r="J3" s="138"/>
    </row>
    <row r="5" spans="1:10" s="18" customFormat="1" ht="15">
      <c r="A5" s="21" t="s">
        <v>0</v>
      </c>
      <c r="B5" s="21" t="s">
        <v>1</v>
      </c>
      <c r="C5" s="21" t="s">
        <v>2</v>
      </c>
      <c r="D5" s="21" t="s">
        <v>1</v>
      </c>
      <c r="E5" s="21" t="s">
        <v>41</v>
      </c>
      <c r="F5" s="40" t="s">
        <v>116</v>
      </c>
      <c r="G5" s="40" t="s">
        <v>118</v>
      </c>
      <c r="H5" s="40" t="s">
        <v>117</v>
      </c>
      <c r="I5" s="40" t="s">
        <v>58</v>
      </c>
      <c r="J5" s="40" t="s">
        <v>5</v>
      </c>
    </row>
    <row r="6" spans="6:10" ht="15" hidden="1">
      <c r="F6" s="41"/>
      <c r="G6" s="41"/>
      <c r="H6" s="41"/>
      <c r="I6" s="41"/>
      <c r="J6" s="41"/>
    </row>
    <row r="7" spans="1:19" ht="15" hidden="1">
      <c r="A7" s="1"/>
      <c r="B7" s="1"/>
      <c r="C7" s="1"/>
      <c r="D7" s="1"/>
      <c r="E7" s="1"/>
      <c r="F7" s="42"/>
      <c r="G7" s="50"/>
      <c r="H7" s="41"/>
      <c r="I7" s="41"/>
      <c r="J7" s="41"/>
      <c r="M7" s="1" t="s">
        <v>2</v>
      </c>
      <c r="N7" s="1"/>
      <c r="O7" s="24" t="s">
        <v>46</v>
      </c>
      <c r="P7" s="1"/>
      <c r="Q7" s="1"/>
      <c r="R7" s="1"/>
      <c r="S7" s="1"/>
    </row>
    <row r="8" spans="1:20" ht="25.5" customHeight="1">
      <c r="A8" s="1" t="s">
        <v>3</v>
      </c>
      <c r="B8" s="135">
        <v>24</v>
      </c>
      <c r="C8" s="1" t="s">
        <v>60</v>
      </c>
      <c r="D8" s="34">
        <v>40</v>
      </c>
      <c r="E8" s="4" t="s">
        <v>62</v>
      </c>
      <c r="F8" s="34">
        <v>40</v>
      </c>
      <c r="G8" s="52">
        <f>+'[1]EJE 1'!$W$49</f>
        <v>2277898336.6607895</v>
      </c>
      <c r="H8" s="36">
        <f>+'año 2008'!G8+'año 2010'!G8+'año 2009'!G8+'año 2011'!G8</f>
        <v>3513060376</v>
      </c>
      <c r="I8" s="52">
        <f>J8/G8*100</f>
        <v>94.89909664576518</v>
      </c>
      <c r="J8" s="36">
        <f>+'año 2008'!I8+'año 2010'!I8+'año 2009'!I8+'año 2011'!J8</f>
        <v>2161704944</v>
      </c>
      <c r="M8" s="1"/>
      <c r="N8" s="1" t="s">
        <v>56</v>
      </c>
      <c r="O8" s="1" t="s">
        <v>5</v>
      </c>
      <c r="P8" s="1" t="s">
        <v>19</v>
      </c>
      <c r="Q8" s="1" t="s">
        <v>47</v>
      </c>
      <c r="R8" s="1" t="s">
        <v>48</v>
      </c>
      <c r="S8" s="1" t="s">
        <v>49</v>
      </c>
      <c r="T8" s="26"/>
    </row>
    <row r="9" spans="1:20" ht="15">
      <c r="A9" s="1"/>
      <c r="B9" s="136"/>
      <c r="C9" s="3" t="s">
        <v>97</v>
      </c>
      <c r="D9" s="34">
        <v>5</v>
      </c>
      <c r="E9" s="1" t="s">
        <v>59</v>
      </c>
      <c r="F9" s="34">
        <v>5</v>
      </c>
      <c r="G9" s="52">
        <f>+'[1]EJE 1'!$W$100</f>
        <v>136800884.17609286</v>
      </c>
      <c r="H9" s="36">
        <f>+'año 2008'!G9+'año 2010'!G9+'año 2009'!G9+'año 2011'!G9</f>
        <v>141853186</v>
      </c>
      <c r="I9" s="52">
        <f>J9/G9*100</f>
        <v>89.83508530676369</v>
      </c>
      <c r="J9" s="36">
        <f>+'año 2008'!I9+'año 2010'!I9+'año 2009'!I9+'año 2011'!J9</f>
        <v>122895191</v>
      </c>
      <c r="M9" s="1" t="s">
        <v>16</v>
      </c>
      <c r="N9" s="8">
        <v>88534792</v>
      </c>
      <c r="O9" s="8">
        <v>75398361</v>
      </c>
      <c r="P9" s="9">
        <v>85.16240824285214</v>
      </c>
      <c r="Q9" s="1">
        <v>5600000</v>
      </c>
      <c r="R9" s="1">
        <v>58845991</v>
      </c>
      <c r="S9" s="1">
        <v>10952370</v>
      </c>
      <c r="T9" s="26"/>
    </row>
    <row r="10" spans="1:20" ht="15">
      <c r="A10" s="1"/>
      <c r="B10" s="136"/>
      <c r="C10" s="2" t="s">
        <v>96</v>
      </c>
      <c r="D10" s="34">
        <v>9</v>
      </c>
      <c r="E10" s="1" t="s">
        <v>61</v>
      </c>
      <c r="F10" s="34">
        <v>9</v>
      </c>
      <c r="G10" s="53">
        <v>0</v>
      </c>
      <c r="H10" s="52">
        <v>0</v>
      </c>
      <c r="I10" s="52"/>
      <c r="J10" s="36">
        <f>+'año 2008'!I10+'año 2010'!I10+'año 2009'!I10+'año 2011'!J10</f>
        <v>0</v>
      </c>
      <c r="K10" s="18" t="s">
        <v>43</v>
      </c>
      <c r="M10" s="1" t="s">
        <v>12</v>
      </c>
      <c r="N10" s="8">
        <v>619656142</v>
      </c>
      <c r="O10" s="8">
        <v>545807830</v>
      </c>
      <c r="P10" s="9">
        <v>88.08237235870084</v>
      </c>
      <c r="Q10" s="1">
        <v>3066100</v>
      </c>
      <c r="R10" s="1">
        <v>339668153</v>
      </c>
      <c r="S10" s="1">
        <v>203073577</v>
      </c>
      <c r="T10" s="26"/>
    </row>
    <row r="11" spans="1:20" ht="15">
      <c r="A11" s="1"/>
      <c r="B11" s="136"/>
      <c r="C11" s="19" t="s">
        <v>98</v>
      </c>
      <c r="D11" s="35">
        <v>4</v>
      </c>
      <c r="E11" s="1" t="s">
        <v>63</v>
      </c>
      <c r="F11" s="35">
        <v>4</v>
      </c>
      <c r="G11" s="52">
        <f>+'[1]EJE 1'!$W$138</f>
        <v>989075057.1173167</v>
      </c>
      <c r="H11" s="36">
        <f>+'año 2008'!G11+'año 2010'!G11+'año 2009'!G11+'año 2011'!G11</f>
        <v>1888948525</v>
      </c>
      <c r="I11" s="52">
        <f>J11/G11*100</f>
        <v>157.87044984744688</v>
      </c>
      <c r="J11" s="36">
        <f>+'año 2008'!I11+'año 2010'!I11+'año 2009'!I11+'año 2011'!J11</f>
        <v>1561457242</v>
      </c>
      <c r="M11" s="1" t="s">
        <v>50</v>
      </c>
      <c r="N11" s="8">
        <v>687091731</v>
      </c>
      <c r="O11" s="8">
        <v>199686446</v>
      </c>
      <c r="P11" s="9">
        <v>29.062559843264946</v>
      </c>
      <c r="Q11" s="1">
        <v>0</v>
      </c>
      <c r="R11" s="1">
        <v>199686446</v>
      </c>
      <c r="S11" s="1">
        <v>0</v>
      </c>
      <c r="T11" s="26"/>
    </row>
    <row r="12" spans="1:20" ht="15">
      <c r="A12" s="1"/>
      <c r="B12" s="136"/>
      <c r="C12" s="2" t="s">
        <v>99</v>
      </c>
      <c r="D12" s="34">
        <v>22</v>
      </c>
      <c r="E12" s="1" t="s">
        <v>64</v>
      </c>
      <c r="F12" s="34">
        <v>22</v>
      </c>
      <c r="G12" s="52">
        <f>+'[1]EJE 1'!$W$112</f>
        <v>389764095.84019256</v>
      </c>
      <c r="H12" s="36">
        <f>+'año 2008'!G12+'año 2010'!G12+'año 2009'!G12+'año 2011'!G12</f>
        <v>382946118</v>
      </c>
      <c r="I12" s="52">
        <f>J12/G12*100</f>
        <v>89.20693458192704</v>
      </c>
      <c r="J12" s="36">
        <f>+'año 2008'!I12+'año 2010'!I12+'año 2009'!I12+'año 2011'!J12</f>
        <v>347696602</v>
      </c>
      <c r="M12" s="1" t="s">
        <v>8</v>
      </c>
      <c r="N12" s="8">
        <v>87028054</v>
      </c>
      <c r="O12" s="8">
        <v>80231054</v>
      </c>
      <c r="P12" s="9">
        <v>92.18987477302434</v>
      </c>
      <c r="Q12" s="1">
        <v>0</v>
      </c>
      <c r="R12" s="1">
        <v>80231054</v>
      </c>
      <c r="S12" s="1">
        <v>0</v>
      </c>
      <c r="T12" s="26"/>
    </row>
    <row r="13" spans="1:20" ht="27" customHeight="1">
      <c r="A13" s="1"/>
      <c r="B13" s="136"/>
      <c r="C13" s="55" t="s">
        <v>119</v>
      </c>
      <c r="D13" s="34">
        <v>8</v>
      </c>
      <c r="E13" s="1" t="s">
        <v>65</v>
      </c>
      <c r="F13" s="34">
        <v>8</v>
      </c>
      <c r="G13" s="52">
        <f>+'[1]EJE 1'!$W$220</f>
        <v>130718683.82664001</v>
      </c>
      <c r="H13" s="36">
        <f>+'año 2008'!G14+'año 2010'!G13+'año 2009'!G14+'año 2011'!G13</f>
        <v>61317019</v>
      </c>
      <c r="I13" s="52">
        <f>J13/G13*100</f>
        <v>14.951710365995027</v>
      </c>
      <c r="J13" s="36">
        <f>+'año 2008'!I13+'año 2010'!I13+'año 2009'!I13+'año 2011'!J13</f>
        <v>19544679</v>
      </c>
      <c r="M13" s="1" t="s">
        <v>13</v>
      </c>
      <c r="N13" s="8">
        <v>323438594</v>
      </c>
      <c r="O13" s="8">
        <v>316378997</v>
      </c>
      <c r="P13" s="9">
        <v>97.81733004936325</v>
      </c>
      <c r="Q13" s="1">
        <v>61816990</v>
      </c>
      <c r="R13" s="1">
        <v>134562007</v>
      </c>
      <c r="S13" s="1">
        <v>120000000</v>
      </c>
      <c r="T13" s="26"/>
    </row>
    <row r="14" spans="1:19" ht="30" customHeight="1">
      <c r="A14" s="1"/>
      <c r="B14" s="137"/>
      <c r="C14" s="2"/>
      <c r="D14" s="34">
        <v>12</v>
      </c>
      <c r="E14" s="4"/>
      <c r="F14" s="34">
        <v>12</v>
      </c>
      <c r="G14" s="42"/>
      <c r="H14" s="52">
        <f>N17</f>
        <v>0</v>
      </c>
      <c r="I14" s="52">
        <v>0</v>
      </c>
      <c r="J14" s="36">
        <f>+'año 2008'!I14+'año 2010'!I14+'año 2009'!I14+'año 2011'!J14</f>
        <v>23099600</v>
      </c>
      <c r="M14" s="1" t="s">
        <v>26</v>
      </c>
      <c r="N14" s="8">
        <v>23856000</v>
      </c>
      <c r="O14" s="8">
        <v>23852000</v>
      </c>
      <c r="P14" s="9">
        <v>99.9832327297116</v>
      </c>
      <c r="Q14" s="1">
        <v>0</v>
      </c>
      <c r="R14" s="1">
        <v>23852000</v>
      </c>
      <c r="S14" s="1">
        <v>0</v>
      </c>
    </row>
    <row r="15" spans="1:20" ht="15">
      <c r="A15" s="1"/>
      <c r="B15" s="28"/>
      <c r="C15" s="2"/>
      <c r="D15" s="1"/>
      <c r="E15" s="1"/>
      <c r="F15" s="34"/>
      <c r="G15" s="54">
        <f>SUM(G8:G14)</f>
        <v>3924257057.6210318</v>
      </c>
      <c r="H15" s="44">
        <f>SUM(H8:H14)</f>
        <v>5988125224</v>
      </c>
      <c r="I15" s="45">
        <f>J15/G15*100</f>
        <v>107.95414764618387</v>
      </c>
      <c r="J15" s="44">
        <f>SUM(J8:J14)</f>
        <v>4236398258</v>
      </c>
      <c r="M15" s="1" t="s">
        <v>27</v>
      </c>
      <c r="N15" s="8">
        <v>0</v>
      </c>
      <c r="O15" s="8">
        <v>0</v>
      </c>
      <c r="P15" s="9" t="e">
        <v>#DIV/0!</v>
      </c>
      <c r="Q15" s="1">
        <v>0</v>
      </c>
      <c r="R15" s="1">
        <v>0</v>
      </c>
      <c r="S15" s="1">
        <v>0</v>
      </c>
      <c r="T15" s="87"/>
    </row>
    <row r="16" spans="1:19" ht="15" hidden="1">
      <c r="A16" s="1"/>
      <c r="B16" s="28"/>
      <c r="C16" s="2"/>
      <c r="D16" s="1"/>
      <c r="E16" s="1"/>
      <c r="F16" s="34"/>
      <c r="G16" s="42"/>
      <c r="H16" s="52"/>
      <c r="I16" s="52"/>
      <c r="J16" s="52"/>
      <c r="M16" s="1" t="s">
        <v>51</v>
      </c>
      <c r="N16" s="8">
        <v>32076953</v>
      </c>
      <c r="O16" s="8">
        <v>24777660</v>
      </c>
      <c r="P16" s="9">
        <v>77.24443153936721</v>
      </c>
      <c r="Q16" s="1">
        <v>0</v>
      </c>
      <c r="R16" s="1">
        <v>24777660</v>
      </c>
      <c r="S16" s="1">
        <v>0</v>
      </c>
    </row>
    <row r="17" spans="1:19" ht="15">
      <c r="A17" s="1"/>
      <c r="B17" s="28"/>
      <c r="C17" s="2"/>
      <c r="D17" s="1"/>
      <c r="E17" s="1"/>
      <c r="F17" s="34"/>
      <c r="G17" s="42"/>
      <c r="H17" s="36"/>
      <c r="I17" s="52"/>
      <c r="J17" s="52"/>
      <c r="M17" s="1" t="s">
        <v>6</v>
      </c>
      <c r="N17" s="8"/>
      <c r="O17" s="8">
        <v>0</v>
      </c>
      <c r="P17" s="9" t="e">
        <v>#DIV/0!</v>
      </c>
      <c r="Q17" s="1"/>
      <c r="R17" s="1"/>
      <c r="S17" s="1"/>
    </row>
    <row r="18" spans="1:19" ht="15">
      <c r="A18" s="1" t="s">
        <v>9</v>
      </c>
      <c r="B18" s="135">
        <v>51</v>
      </c>
      <c r="C18" s="3" t="s">
        <v>88</v>
      </c>
      <c r="D18" s="34">
        <v>24</v>
      </c>
      <c r="E18" s="1" t="s">
        <v>67</v>
      </c>
      <c r="F18" s="34">
        <v>24</v>
      </c>
      <c r="G18" s="52">
        <f>+'[1]EJE 2'!$M$10</f>
        <v>1391017820.6172023</v>
      </c>
      <c r="H18" s="36">
        <f>+'año 2008'!G17+'año 2010'!G18+'año 2009'!G18+'año 2011'!G18</f>
        <v>2465389585</v>
      </c>
      <c r="I18" s="52">
        <f>J18/G18*100</f>
        <v>141.8883629488127</v>
      </c>
      <c r="J18" s="36">
        <f>+'año 2008'!I17+'año 2010'!I18+'año 2009'!I18+'año 2011'!J18</f>
        <v>1973692414</v>
      </c>
      <c r="M18" s="1" t="s">
        <v>30</v>
      </c>
      <c r="N18" s="8">
        <v>127710766</v>
      </c>
      <c r="O18" s="8">
        <v>100058433</v>
      </c>
      <c r="P18" s="9">
        <v>78.34768840083537</v>
      </c>
      <c r="Q18" s="1">
        <v>63366057</v>
      </c>
      <c r="R18" s="1">
        <v>36692376</v>
      </c>
      <c r="S18" s="1">
        <v>0</v>
      </c>
    </row>
    <row r="19" spans="1:19" ht="15">
      <c r="A19" s="1"/>
      <c r="B19" s="136"/>
      <c r="C19" s="3" t="s">
        <v>89</v>
      </c>
      <c r="D19" s="34">
        <v>4</v>
      </c>
      <c r="E19" s="1" t="s">
        <v>68</v>
      </c>
      <c r="F19" s="34">
        <v>4</v>
      </c>
      <c r="G19" s="52">
        <f>+'[1]PLAN PLURIANUAL TORO 2008-2011'!$I$3</f>
        <v>232135634.10177284</v>
      </c>
      <c r="H19" s="36">
        <f>+'año 2008'!G18+'año 2010'!G19+'año 2009'!G19+'año 2011'!G19</f>
        <v>317574135</v>
      </c>
      <c r="I19" s="52">
        <f aca="true" t="shared" si="0" ref="I19:I26">J19/G19*100</f>
        <v>112.97169261183981</v>
      </c>
      <c r="J19" s="36">
        <f>+'año 2008'!I18+'año 2010'!I19+'año 2009'!I19+'año 2011'!J19</f>
        <v>262247555</v>
      </c>
      <c r="M19" s="1" t="s">
        <v>31</v>
      </c>
      <c r="N19" s="8">
        <v>848697</v>
      </c>
      <c r="O19" s="8">
        <v>0</v>
      </c>
      <c r="P19" s="9">
        <v>0</v>
      </c>
      <c r="Q19" s="1">
        <v>0</v>
      </c>
      <c r="R19" s="1">
        <v>0</v>
      </c>
      <c r="S19" s="1">
        <v>0</v>
      </c>
    </row>
    <row r="20" spans="1:19" ht="15">
      <c r="A20" s="1"/>
      <c r="B20" s="136"/>
      <c r="C20" s="3" t="s">
        <v>90</v>
      </c>
      <c r="D20" s="34">
        <v>30</v>
      </c>
      <c r="E20" s="1" t="s">
        <v>69</v>
      </c>
      <c r="F20" s="34">
        <v>30</v>
      </c>
      <c r="G20" s="52">
        <f>+'[1]EJE 2'!$M$377</f>
        <v>9458606767.087246</v>
      </c>
      <c r="H20" s="36">
        <f>+'año 2008'!G19+'año 2010'!G20+'año 2009'!G20+'año 2011'!G20</f>
        <v>12606581254</v>
      </c>
      <c r="I20" s="52">
        <f t="shared" si="0"/>
        <v>110.64142803161181</v>
      </c>
      <c r="J20" s="36">
        <f>+'año 2008'!I19+'año 2010'!I20+'año 2009'!I20+'año 2011'!J20</f>
        <v>10465137599</v>
      </c>
      <c r="M20" s="1" t="s">
        <v>44</v>
      </c>
      <c r="N20" s="8">
        <v>20800448</v>
      </c>
      <c r="O20" s="8">
        <v>15828170</v>
      </c>
      <c r="P20" s="9">
        <v>76.09533217746079</v>
      </c>
      <c r="Q20" s="1">
        <v>13513412</v>
      </c>
      <c r="R20" s="1">
        <v>2314758</v>
      </c>
      <c r="S20" s="1">
        <v>0</v>
      </c>
    </row>
    <row r="21" spans="1:19" ht="15">
      <c r="A21" s="1"/>
      <c r="B21" s="136"/>
      <c r="C21" s="1" t="s">
        <v>91</v>
      </c>
      <c r="D21" s="34">
        <v>7</v>
      </c>
      <c r="E21" s="1" t="s">
        <v>70</v>
      </c>
      <c r="F21" s="34">
        <v>7</v>
      </c>
      <c r="G21" s="52">
        <f>+'[1]EJE 2'!$M$333</f>
        <v>508373815.5535604</v>
      </c>
      <c r="H21" s="36">
        <f>+'año 2008'!G20+'año 2010'!G21+'año 2009'!G21+'año 2011'!G21</f>
        <v>456721259</v>
      </c>
      <c r="I21" s="52">
        <f t="shared" si="0"/>
        <v>44.21769161246599</v>
      </c>
      <c r="J21" s="36">
        <f>+'año 2008'!I20+'año 2010'!I21+'año 2009'!I21+'año 2011'!J21</f>
        <v>224791166</v>
      </c>
      <c r="M21" s="1" t="s">
        <v>33</v>
      </c>
      <c r="N21" s="8">
        <v>165707564</v>
      </c>
      <c r="O21" s="8">
        <v>97951665</v>
      </c>
      <c r="P21" s="9">
        <v>59.111161033059425</v>
      </c>
      <c r="Q21" s="1">
        <v>18361800</v>
      </c>
      <c r="R21" s="1">
        <v>79589865</v>
      </c>
      <c r="S21" s="1">
        <v>0</v>
      </c>
    </row>
    <row r="22" spans="1:19" ht="15">
      <c r="A22" s="1"/>
      <c r="B22" s="136"/>
      <c r="C22" s="3" t="s">
        <v>92</v>
      </c>
      <c r="D22" s="34">
        <v>10</v>
      </c>
      <c r="E22" s="1" t="s">
        <v>71</v>
      </c>
      <c r="F22" s="34">
        <v>10</v>
      </c>
      <c r="G22" s="52">
        <f>+'[1]EJE 2'!$M$425</f>
        <v>262357300.93591636</v>
      </c>
      <c r="H22" s="36">
        <f>+'año 2008'!G21+'año 2010'!G22+'año 2009'!G22+'año 2011'!G22</f>
        <v>473244614</v>
      </c>
      <c r="I22" s="52">
        <f t="shared" si="0"/>
        <v>153.35815453379644</v>
      </c>
      <c r="J22" s="36">
        <f>+'año 2008'!I21+'año 2010'!I22+'año 2009'!I22+'año 2011'!J22</f>
        <v>402346315</v>
      </c>
      <c r="M22" s="1" t="s">
        <v>52</v>
      </c>
      <c r="N22" s="8">
        <v>54000000</v>
      </c>
      <c r="O22" s="8">
        <v>39715206</v>
      </c>
      <c r="P22" s="9">
        <v>73.54667777777777</v>
      </c>
      <c r="Q22" s="1">
        <v>0</v>
      </c>
      <c r="R22" s="1">
        <v>39715206</v>
      </c>
      <c r="S22" s="1">
        <v>0</v>
      </c>
    </row>
    <row r="23" spans="1:19" ht="15">
      <c r="A23" s="1"/>
      <c r="B23" s="136"/>
      <c r="C23" s="1" t="s">
        <v>93</v>
      </c>
      <c r="D23" s="34">
        <v>10</v>
      </c>
      <c r="E23" s="1" t="s">
        <v>72</v>
      </c>
      <c r="F23" s="34">
        <v>10</v>
      </c>
      <c r="G23" s="52">
        <f>+'[1]EJE 2'!$M$456</f>
        <v>271118091.551224</v>
      </c>
      <c r="H23" s="36">
        <f>+'año 2008'!G22+'año 2010'!G23+'año 2009'!G23+'año 2011'!G23</f>
        <v>504085324</v>
      </c>
      <c r="I23" s="52">
        <f t="shared" si="0"/>
        <v>177.07560427751642</v>
      </c>
      <c r="J23" s="36">
        <f>+'año 2008'!I22+'año 2010'!I23+'año 2009'!I23+'año 2011'!J23</f>
        <v>480083998.92</v>
      </c>
      <c r="M23" s="1" t="s">
        <v>53</v>
      </c>
      <c r="N23" s="8">
        <v>468468094</v>
      </c>
      <c r="O23" s="8">
        <v>354344830</v>
      </c>
      <c r="P23" s="9">
        <v>75.63905301947842</v>
      </c>
      <c r="Q23" s="1">
        <v>0</v>
      </c>
      <c r="R23" s="1">
        <v>354344830</v>
      </c>
      <c r="S23" s="1">
        <v>0</v>
      </c>
    </row>
    <row r="24" spans="1:19" ht="15">
      <c r="A24" s="1"/>
      <c r="B24" s="136"/>
      <c r="C24" s="3" t="s">
        <v>94</v>
      </c>
      <c r="D24" s="34">
        <v>15</v>
      </c>
      <c r="E24" s="1" t="s">
        <v>74</v>
      </c>
      <c r="F24" s="34">
        <v>15</v>
      </c>
      <c r="G24" s="52">
        <f>+'[1]EJE 2'!$M$226</f>
        <v>387002573.14009416</v>
      </c>
      <c r="H24" s="36">
        <f>+'año 2008'!G23+'año 2010'!G24+'año 2009'!G24+'año 2011'!G24</f>
        <v>810214397</v>
      </c>
      <c r="I24" s="52">
        <f t="shared" si="0"/>
        <v>151.34717302976986</v>
      </c>
      <c r="J24" s="36">
        <f>+'año 2008'!I23+'año 2010'!I24+'año 2009'!I24+'año 2011'!J24</f>
        <v>585717454</v>
      </c>
      <c r="M24" s="1" t="s">
        <v>36</v>
      </c>
      <c r="N24" s="8">
        <v>141486440</v>
      </c>
      <c r="O24" s="8">
        <v>130141339</v>
      </c>
      <c r="P24" s="9">
        <v>91.98149236068134</v>
      </c>
      <c r="Q24" s="1">
        <v>5342071</v>
      </c>
      <c r="R24" s="1">
        <v>63146960</v>
      </c>
      <c r="S24" s="1">
        <v>61652308</v>
      </c>
    </row>
    <row r="25" spans="1:19" ht="15">
      <c r="A25" s="1"/>
      <c r="B25" s="137"/>
      <c r="C25" s="3" t="s">
        <v>110</v>
      </c>
      <c r="D25" s="34"/>
      <c r="E25" s="1" t="s">
        <v>73</v>
      </c>
      <c r="F25" s="34"/>
      <c r="G25" s="52">
        <f>+'[1]EJE 2'!$M$266</f>
        <v>63243941.124</v>
      </c>
      <c r="H25" s="36">
        <f>+'año 2008'!G24+'año 2010'!G25+'año 2009'!G25+'año 2011'!G25</f>
        <v>45300448</v>
      </c>
      <c r="I25" s="52">
        <f t="shared" si="0"/>
        <v>52.6505296921856</v>
      </c>
      <c r="J25" s="36">
        <f>+'año 2008'!I24+'año 2010'!I25+'año 2009'!I25+'año 2011'!J25</f>
        <v>33298270</v>
      </c>
      <c r="M25" s="1" t="s">
        <v>10</v>
      </c>
      <c r="N25" s="8">
        <v>89371213</v>
      </c>
      <c r="O25" s="8">
        <v>82119274</v>
      </c>
      <c r="P25" s="9">
        <v>91.88559855397733</v>
      </c>
      <c r="Q25" s="1">
        <v>16743950</v>
      </c>
      <c r="R25" s="1">
        <v>65375324</v>
      </c>
      <c r="S25" s="1">
        <v>0</v>
      </c>
    </row>
    <row r="26" spans="1:19" ht="15">
      <c r="A26" s="1"/>
      <c r="B26" s="28"/>
      <c r="C26" s="38" t="s">
        <v>115</v>
      </c>
      <c r="D26" s="1"/>
      <c r="E26" s="1"/>
      <c r="F26" s="34"/>
      <c r="G26" s="54">
        <f>SUM(G18:G25)</f>
        <v>12573855944.111017</v>
      </c>
      <c r="H26" s="44">
        <f>SUM(H18:H25)</f>
        <v>17679111016</v>
      </c>
      <c r="I26" s="56">
        <f t="shared" si="0"/>
        <v>114.74057628819148</v>
      </c>
      <c r="J26" s="44">
        <f>SUM(J18:J25)</f>
        <v>14427314771.92</v>
      </c>
      <c r="M26" s="1" t="s">
        <v>37</v>
      </c>
      <c r="N26" s="8">
        <v>100515085</v>
      </c>
      <c r="O26" s="8">
        <v>51100871</v>
      </c>
      <c r="P26" s="9">
        <v>50.83900640386465</v>
      </c>
      <c r="Q26" s="1">
        <v>22500000</v>
      </c>
      <c r="R26" s="1">
        <v>28600870.5</v>
      </c>
      <c r="S26" s="1">
        <v>0</v>
      </c>
    </row>
    <row r="27" spans="1:19" ht="15">
      <c r="A27" s="1"/>
      <c r="B27" s="28"/>
      <c r="C27" s="3"/>
      <c r="D27" s="1"/>
      <c r="E27" s="1"/>
      <c r="F27" s="34"/>
      <c r="G27" s="42"/>
      <c r="H27" s="45"/>
      <c r="I27" s="52"/>
      <c r="J27" s="45"/>
      <c r="M27" s="1" t="s">
        <v>54</v>
      </c>
      <c r="N27" s="8">
        <v>52050774</v>
      </c>
      <c r="O27" s="8">
        <v>44968012</v>
      </c>
      <c r="P27" s="9">
        <v>86.39259043487039</v>
      </c>
      <c r="Q27" s="1">
        <v>22092022</v>
      </c>
      <c r="R27" s="1">
        <v>0</v>
      </c>
      <c r="S27" s="1">
        <v>22875990</v>
      </c>
    </row>
    <row r="28" spans="1:19" ht="28.5" customHeight="1">
      <c r="A28" s="4" t="s">
        <v>15</v>
      </c>
      <c r="B28" s="135">
        <v>10</v>
      </c>
      <c r="C28" s="39" t="s">
        <v>86</v>
      </c>
      <c r="D28" s="1">
        <v>30</v>
      </c>
      <c r="E28" s="29" t="s">
        <v>75</v>
      </c>
      <c r="F28" s="34">
        <v>30</v>
      </c>
      <c r="G28" s="52">
        <f>+'[1]EJE 3'!$M$140</f>
        <v>174466048.8416511</v>
      </c>
      <c r="H28" s="47">
        <f>+'año 2008'!G27+'año 2010'!G28+'año 2009'!G28+'año 2011'!G28</f>
        <v>146231577</v>
      </c>
      <c r="I28" s="52">
        <f>J28/G28*100</f>
        <v>42.455486033977756</v>
      </c>
      <c r="J28" s="36">
        <f>+'año 2008'!I27+'año 2010'!I28+'año 2009'!I28+'año 2011'!J28</f>
        <v>74070409</v>
      </c>
      <c r="M28" s="1" t="s">
        <v>11</v>
      </c>
      <c r="N28" s="8">
        <v>3752917667</v>
      </c>
      <c r="O28" s="8">
        <v>3002972956</v>
      </c>
      <c r="P28" s="9">
        <v>80.0170220201103</v>
      </c>
      <c r="Q28" s="1">
        <v>0</v>
      </c>
      <c r="R28" s="1">
        <v>1608628569</v>
      </c>
      <c r="S28" s="1">
        <v>1394344387</v>
      </c>
    </row>
    <row r="29" spans="1:19" ht="15">
      <c r="A29" s="1"/>
      <c r="B29" s="137"/>
      <c r="C29" s="3" t="s">
        <v>87</v>
      </c>
      <c r="D29" s="1">
        <v>70</v>
      </c>
      <c r="E29" s="1" t="s">
        <v>76</v>
      </c>
      <c r="F29" s="34">
        <v>70</v>
      </c>
      <c r="G29" s="52">
        <f>+'[1]EJE 3'!$M$253</f>
        <v>277317376.0631274</v>
      </c>
      <c r="H29" s="33">
        <f>+'año 2008'!G28+'año 2010'!G29+'año 2009'!G29+'año 2011'!G29</f>
        <v>191518085</v>
      </c>
      <c r="I29" s="52">
        <f>J29/G29*100</f>
        <v>53.41814281636593</v>
      </c>
      <c r="J29" s="36">
        <f>+'año 2008'!I28+'año 2010'!I29+'año 2009'!I29+'año 2011'!J29</f>
        <v>148137792</v>
      </c>
      <c r="M29" s="1" t="s">
        <v>55</v>
      </c>
      <c r="N29" s="8">
        <v>184696588</v>
      </c>
      <c r="O29" s="8">
        <v>150273337</v>
      </c>
      <c r="P29" s="9">
        <v>81.36227021151035</v>
      </c>
      <c r="Q29" s="1">
        <v>0</v>
      </c>
      <c r="R29" s="1">
        <v>150273337</v>
      </c>
      <c r="S29" s="1">
        <v>0</v>
      </c>
    </row>
    <row r="30" spans="1:19" ht="15">
      <c r="A30" s="1"/>
      <c r="B30" s="28"/>
      <c r="C30" s="38" t="s">
        <v>115</v>
      </c>
      <c r="D30" s="1"/>
      <c r="E30" s="1"/>
      <c r="F30" s="34"/>
      <c r="G30" s="54">
        <f>SUM(G28:G29)</f>
        <v>451783424.9047785</v>
      </c>
      <c r="H30" s="48">
        <f>SUM(H28:H29)</f>
        <v>337749662</v>
      </c>
      <c r="I30" s="56">
        <f>J30/G30*100+1</f>
        <v>50.184673175390266</v>
      </c>
      <c r="J30" s="51">
        <f>SUM(J28:J29)</f>
        <v>222208201</v>
      </c>
      <c r="M30" s="1" t="s">
        <v>7</v>
      </c>
      <c r="N30" s="8">
        <v>2547339</v>
      </c>
      <c r="O30" s="8">
        <v>0</v>
      </c>
      <c r="P30" s="9">
        <v>0</v>
      </c>
      <c r="Q30" s="1">
        <v>0</v>
      </c>
      <c r="R30" s="1">
        <v>0</v>
      </c>
      <c r="S30" s="1">
        <v>0</v>
      </c>
    </row>
    <row r="31" spans="1:19" ht="15">
      <c r="A31" s="1"/>
      <c r="B31" s="28"/>
      <c r="C31" s="3"/>
      <c r="D31" s="1"/>
      <c r="E31" s="1"/>
      <c r="F31" s="34"/>
      <c r="G31" s="42"/>
      <c r="H31" s="42"/>
      <c r="I31" s="42"/>
      <c r="J31" s="36">
        <f>+'año 2008'!I30+'año 2010'!I31+'año 2009'!I31+'año 2011'!J31</f>
        <v>0</v>
      </c>
      <c r="M31" s="1" t="s">
        <v>25</v>
      </c>
      <c r="N31" s="8">
        <v>18750169</v>
      </c>
      <c r="O31" s="8">
        <v>18620524</v>
      </c>
      <c r="P31" s="9">
        <v>99.30856623212303</v>
      </c>
      <c r="Q31" s="1">
        <v>0</v>
      </c>
      <c r="R31" s="1">
        <v>18620524</v>
      </c>
      <c r="S31" s="1">
        <v>0</v>
      </c>
    </row>
    <row r="32" spans="1:19" ht="30">
      <c r="A32" s="4" t="s">
        <v>14</v>
      </c>
      <c r="B32" s="135">
        <v>15</v>
      </c>
      <c r="C32" s="3" t="s">
        <v>81</v>
      </c>
      <c r="D32" s="1">
        <v>10</v>
      </c>
      <c r="E32" s="1" t="s">
        <v>79</v>
      </c>
      <c r="F32" s="34">
        <v>10</v>
      </c>
      <c r="G32" s="52">
        <f>+'[1]EJE 4'!$M$306+'[1]EJE 4'!$M$197+'[1]EJE 4'!$M$362</f>
        <v>395100994.6942313</v>
      </c>
      <c r="H32" s="36">
        <f>+'año 2008'!G31+'año 2010'!G32+'año 2009'!G32+'año 2011'!G32</f>
        <v>682145422</v>
      </c>
      <c r="I32" s="52">
        <f>J32/G32*100</f>
        <v>149.48669654883648</v>
      </c>
      <c r="J32" s="36">
        <f>+'año 2008'!I31+'año 2010'!I32+'año 2009'!I32+'año 2011'!J32</f>
        <v>590623425</v>
      </c>
      <c r="M32" s="24" t="s">
        <v>40</v>
      </c>
      <c r="N32" s="16">
        <v>7041553110</v>
      </c>
      <c r="O32" s="16">
        <f>SUM(O9:O31)</f>
        <v>5354226965</v>
      </c>
      <c r="P32" s="25">
        <v>76.03758546869783</v>
      </c>
      <c r="Q32" s="24">
        <v>232402402</v>
      </c>
      <c r="R32" s="24">
        <v>3308925930</v>
      </c>
      <c r="S32" s="24">
        <v>1812898632.3400002</v>
      </c>
    </row>
    <row r="33" spans="1:10" ht="15">
      <c r="A33" s="1"/>
      <c r="B33" s="136"/>
      <c r="C33" s="3" t="s">
        <v>82</v>
      </c>
      <c r="D33" s="1">
        <v>2</v>
      </c>
      <c r="E33" s="1" t="s">
        <v>111</v>
      </c>
      <c r="F33" s="34">
        <v>2</v>
      </c>
      <c r="G33" s="52">
        <f>+'[1]EJE 4'!$M$201</f>
        <v>126487882.248</v>
      </c>
      <c r="H33" s="36">
        <f>+'año 2008'!G32+'año 2010'!G33+'año 2009'!G33+'año 2011'!G33</f>
        <v>132345753</v>
      </c>
      <c r="I33" s="52">
        <f aca="true" t="shared" si="1" ref="I33:I38">J33/G33*100</f>
        <v>79.87583332441912</v>
      </c>
      <c r="J33" s="36">
        <f>+'año 2008'!I32+'año 2010'!I33+'año 2009'!I33+'año 2011'!J33</f>
        <v>101033250</v>
      </c>
    </row>
    <row r="34" spans="1:10" ht="15">
      <c r="A34" s="1"/>
      <c r="B34" s="136"/>
      <c r="C34" s="3" t="s">
        <v>83</v>
      </c>
      <c r="D34" s="1">
        <v>10</v>
      </c>
      <c r="E34" s="1" t="s">
        <v>112</v>
      </c>
      <c r="F34" s="34">
        <v>10</v>
      </c>
      <c r="G34" s="52">
        <f>+'[1]EJE 4'!$M$169</f>
        <v>107296617.35520001</v>
      </c>
      <c r="H34" s="36">
        <f>+'año 2008'!G33+'año 2010'!G34+'año 2009'!G34+'año 2011'!G34</f>
        <v>203116549</v>
      </c>
      <c r="I34" s="52">
        <f t="shared" si="1"/>
        <v>56.459543174092516</v>
      </c>
      <c r="J34" s="36">
        <f>+'año 2008'!I33+'año 2010'!I34+'año 2009'!I34+'año 2011'!J34</f>
        <v>60579180</v>
      </c>
    </row>
    <row r="35" spans="1:10" ht="15">
      <c r="A35" s="21"/>
      <c r="B35" s="136"/>
      <c r="C35" s="3" t="s">
        <v>84</v>
      </c>
      <c r="D35" s="1">
        <v>40</v>
      </c>
      <c r="E35" s="1" t="s">
        <v>77</v>
      </c>
      <c r="F35" s="34">
        <v>40</v>
      </c>
      <c r="G35" s="52">
        <f>+'[1]EJE 4'!$M$277</f>
        <v>422238459.5173596</v>
      </c>
      <c r="H35" s="36">
        <f>+'año 2008'!G34+'año 2010'!G35+'año 2009'!G35+'año 2011'!G35</f>
        <v>610807366</v>
      </c>
      <c r="I35" s="52">
        <f t="shared" si="1"/>
        <v>119.20161502467472</v>
      </c>
      <c r="J35" s="36">
        <f>+'año 2008'!I34+'año 2010'!I35+'año 2009'!I35+'año 2011'!J35</f>
        <v>503315063</v>
      </c>
    </row>
    <row r="36" spans="1:10" ht="15">
      <c r="A36" s="21"/>
      <c r="B36" s="137"/>
      <c r="C36" s="1" t="s">
        <v>85</v>
      </c>
      <c r="D36" s="1">
        <v>2</v>
      </c>
      <c r="E36" s="1" t="s">
        <v>78</v>
      </c>
      <c r="F36" s="34">
        <v>2</v>
      </c>
      <c r="G36" s="52">
        <f>+'[1]EJE 4'!$M$418</f>
        <v>315957971.66007113</v>
      </c>
      <c r="H36" s="36">
        <f>+'año 2008'!G35+'año 2010'!G36+'año 2009'!G36+'año 2011'!G36</f>
        <v>595769915</v>
      </c>
      <c r="I36" s="52">
        <f t="shared" si="1"/>
        <v>170.0305392446255</v>
      </c>
      <c r="J36" s="36">
        <f>+'año 2008'!I35+'año 2010'!I36+'año 2009'!I36+'año 2011'!J36</f>
        <v>537225043</v>
      </c>
    </row>
    <row r="37" spans="1:10" ht="15">
      <c r="A37" s="1"/>
      <c r="B37" s="28"/>
      <c r="C37" s="38" t="s">
        <v>115</v>
      </c>
      <c r="D37" s="1"/>
      <c r="E37" s="1"/>
      <c r="F37" s="34"/>
      <c r="G37" s="56">
        <f>SUM(G32:G36)</f>
        <v>1367081925.474862</v>
      </c>
      <c r="H37" s="49">
        <f>SUM(H32:H36)</f>
        <v>2224185005</v>
      </c>
      <c r="I37" s="56">
        <f t="shared" si="1"/>
        <v>131.13888257847248</v>
      </c>
      <c r="J37" s="49">
        <f>SUM(J32:J36)</f>
        <v>1792775961</v>
      </c>
    </row>
    <row r="38" spans="1:10" ht="15">
      <c r="A38" s="1"/>
      <c r="B38" s="1"/>
      <c r="C38" s="38" t="s">
        <v>40</v>
      </c>
      <c r="D38" s="1"/>
      <c r="E38" s="1"/>
      <c r="F38" s="34"/>
      <c r="G38" s="54">
        <f>+G37+G30+G26+G15</f>
        <v>18316978352.11169</v>
      </c>
      <c r="H38" s="49">
        <f>H15+H26+H30+H37</f>
        <v>26229170907</v>
      </c>
      <c r="I38" s="56">
        <f t="shared" si="1"/>
        <v>112.89360501720545</v>
      </c>
      <c r="J38" s="49">
        <f>J15+J26+J30+J37</f>
        <v>20678697191.92</v>
      </c>
    </row>
    <row r="39" spans="1:10" ht="15">
      <c r="A39" s="1"/>
      <c r="B39" s="1"/>
      <c r="C39" s="1"/>
      <c r="D39" s="1"/>
      <c r="E39" s="1"/>
      <c r="F39" s="34"/>
      <c r="G39" s="42"/>
      <c r="H39" s="42"/>
      <c r="I39" s="42"/>
      <c r="J39" s="42"/>
    </row>
    <row r="41" ht="15">
      <c r="A41" t="str">
        <f>'año 2009'!A42</f>
        <v>MARIA JOSEFINA LOPEZ RAMIREZ</v>
      </c>
    </row>
    <row r="42" ht="15">
      <c r="A42" t="str">
        <f>'año 2009'!A43</f>
        <v>JEFE ASESORA  OFICINA DE PLANEACION (e)</v>
      </c>
    </row>
    <row r="43" spans="1:8" ht="15">
      <c r="A43" t="str">
        <f>'año 2009'!A44</f>
        <v>Fuente</v>
      </c>
      <c r="H43" s="32"/>
    </row>
    <row r="44" ht="15">
      <c r="A44" t="s">
        <v>108</v>
      </c>
    </row>
    <row r="45" spans="6:10" ht="15" hidden="1">
      <c r="F45">
        <v>17</v>
      </c>
      <c r="H45" s="26">
        <f>+H15/H49*100</f>
        <v>85.03983610513448</v>
      </c>
      <c r="J45" s="26">
        <f>+J15/J49*100</f>
        <v>79.12250051581442</v>
      </c>
    </row>
    <row r="46" spans="6:10" ht="15" hidden="1">
      <c r="F46">
        <v>28</v>
      </c>
      <c r="H46" s="26">
        <f>+H26/H49*100</f>
        <v>251.06834727828956</v>
      </c>
      <c r="J46" s="26">
        <f>+J26/J49*100</f>
        <v>269.456540901792</v>
      </c>
    </row>
    <row r="47" spans="6:10" ht="15" hidden="1">
      <c r="F47">
        <v>32</v>
      </c>
      <c r="H47" s="26">
        <f>+H30/H49*100</f>
        <v>4.79652225473309</v>
      </c>
      <c r="J47" s="26">
        <f>+J30/J49*100</f>
        <v>4.1501453422230865</v>
      </c>
    </row>
    <row r="48" spans="6:10" ht="15" hidden="1">
      <c r="F48">
        <v>38</v>
      </c>
      <c r="H48" s="26">
        <f>+H37/H49*100</f>
        <v>31.5865686199447</v>
      </c>
      <c r="J48" s="26">
        <f>+J37/J49*100</f>
        <v>33.483376269238896</v>
      </c>
    </row>
    <row r="49" spans="8:10" ht="15" hidden="1">
      <c r="H49" s="22">
        <v>7041553110</v>
      </c>
      <c r="J49" s="22">
        <v>5354226965</v>
      </c>
    </row>
    <row r="50" ht="15" hidden="1"/>
    <row r="51" ht="15">
      <c r="A51" t="s">
        <v>127</v>
      </c>
    </row>
  </sheetData>
  <sheetProtection/>
  <mergeCells count="7">
    <mergeCell ref="B32:B36"/>
    <mergeCell ref="A1:J1"/>
    <mergeCell ref="A2:J2"/>
    <mergeCell ref="A3:J3"/>
    <mergeCell ref="B8:B14"/>
    <mergeCell ref="B18:B25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75" zoomScaleNormal="75" zoomScalePageLayoutView="0" workbookViewId="0" topLeftCell="A1">
      <selection activeCell="E10" sqref="E10"/>
    </sheetView>
  </sheetViews>
  <sheetFormatPr defaultColWidth="11.421875" defaultRowHeight="15"/>
  <cols>
    <col min="1" max="1" width="31.57421875" style="0" customWidth="1"/>
    <col min="2" max="2" width="7.8515625" style="0" customWidth="1"/>
    <col min="3" max="3" width="30.7109375" style="0" customWidth="1"/>
    <col min="4" max="4" width="7.28125" style="0" customWidth="1"/>
    <col min="5" max="5" width="33.00390625" style="0" customWidth="1"/>
    <col min="6" max="6" width="8.57421875" style="0" customWidth="1"/>
    <col min="7" max="7" width="24.8515625" style="0" customWidth="1"/>
    <col min="8" max="8" width="24.7109375" style="0" hidden="1" customWidth="1"/>
    <col min="9" max="9" width="9.28125" style="0" customWidth="1"/>
    <col min="10" max="10" width="24.28125" style="0" customWidth="1"/>
    <col min="11" max="12" width="0" style="0" hidden="1" customWidth="1"/>
    <col min="13" max="13" width="47.28125" style="0" hidden="1" customWidth="1"/>
    <col min="14" max="14" width="21.57421875" style="0" hidden="1" customWidth="1"/>
    <col min="15" max="15" width="18.57421875" style="0" hidden="1" customWidth="1"/>
    <col min="16" max="16" width="14.28125" style="0" hidden="1" customWidth="1"/>
    <col min="17" max="17" width="21.7109375" style="0" hidden="1" customWidth="1"/>
    <col min="18" max="19" width="14.28125" style="0" hidden="1" customWidth="1"/>
    <col min="20" max="20" width="20.140625" style="0" customWidth="1"/>
  </cols>
  <sheetData>
    <row r="1" spans="1:20" ht="15">
      <c r="A1" s="139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55"/>
    </row>
    <row r="2" spans="1:20" ht="15">
      <c r="A2" s="141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56"/>
    </row>
    <row r="3" spans="1:20" ht="15">
      <c r="A3" s="143" t="s">
        <v>121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57"/>
    </row>
    <row r="5" spans="1:20" s="18" customFormat="1" ht="15">
      <c r="A5" s="21" t="s">
        <v>0</v>
      </c>
      <c r="B5" s="21" t="s">
        <v>1</v>
      </c>
      <c r="C5" s="21" t="s">
        <v>2</v>
      </c>
      <c r="D5" s="21" t="s">
        <v>1</v>
      </c>
      <c r="E5" s="21" t="s">
        <v>41</v>
      </c>
      <c r="F5" s="40" t="s">
        <v>116</v>
      </c>
      <c r="G5" s="40" t="s">
        <v>118</v>
      </c>
      <c r="H5" s="40" t="s">
        <v>117</v>
      </c>
      <c r="I5" s="40" t="s">
        <v>58</v>
      </c>
      <c r="J5" s="40" t="s">
        <v>5</v>
      </c>
      <c r="T5" s="21" t="s">
        <v>122</v>
      </c>
    </row>
    <row r="6" spans="6:20" ht="15" hidden="1">
      <c r="F6" s="41"/>
      <c r="G6" s="41"/>
      <c r="H6" s="41"/>
      <c r="I6" s="41"/>
      <c r="J6" s="41"/>
      <c r="T6" s="1"/>
    </row>
    <row r="7" spans="1:20" ht="15" hidden="1">
      <c r="A7" s="1"/>
      <c r="B7" s="1"/>
      <c r="C7" s="1"/>
      <c r="D7" s="1"/>
      <c r="E7" s="1"/>
      <c r="F7" s="42"/>
      <c r="G7" s="50"/>
      <c r="H7" s="41"/>
      <c r="I7" s="41"/>
      <c r="J7" s="41"/>
      <c r="M7" s="1" t="s">
        <v>2</v>
      </c>
      <c r="N7" s="1"/>
      <c r="O7" s="24" t="s">
        <v>46</v>
      </c>
      <c r="P7" s="1"/>
      <c r="Q7" s="1"/>
      <c r="R7" s="1"/>
      <c r="S7" s="58"/>
      <c r="T7" s="1"/>
    </row>
    <row r="8" spans="1:20" ht="29.25" customHeight="1">
      <c r="A8" s="63" t="s">
        <v>3</v>
      </c>
      <c r="B8" s="135">
        <v>24</v>
      </c>
      <c r="C8" s="55" t="s">
        <v>60</v>
      </c>
      <c r="D8" s="34">
        <v>40</v>
      </c>
      <c r="E8" s="4" t="s">
        <v>62</v>
      </c>
      <c r="F8" s="34">
        <v>40</v>
      </c>
      <c r="G8" s="52">
        <f>+'[1]EJE 1'!$W$49</f>
        <v>2277898336.6607895</v>
      </c>
      <c r="H8" s="36">
        <f>+'año 2008'!G8+'año 2010'!G8+'año 2009'!G8+'año 2011'!G8</f>
        <v>3513060376</v>
      </c>
      <c r="I8" s="43">
        <f>J8/G8*100</f>
        <v>94.89909664576518</v>
      </c>
      <c r="J8" s="43">
        <f>+'año 2008'!I8+'año 2010'!I8+'año 2009'!I8+'año 2011'!J8</f>
        <v>2161704944</v>
      </c>
      <c r="M8" s="1"/>
      <c r="N8" s="1" t="s">
        <v>56</v>
      </c>
      <c r="O8" s="1" t="s">
        <v>5</v>
      </c>
      <c r="P8" s="1" t="s">
        <v>19</v>
      </c>
      <c r="Q8" s="1" t="s">
        <v>47</v>
      </c>
      <c r="R8" s="1" t="s">
        <v>48</v>
      </c>
      <c r="S8" s="58" t="s">
        <v>49</v>
      </c>
      <c r="T8" s="1"/>
    </row>
    <row r="9" spans="1:20" ht="30">
      <c r="A9" s="1"/>
      <c r="B9" s="136"/>
      <c r="C9" s="3" t="s">
        <v>97</v>
      </c>
      <c r="D9" s="34">
        <v>5</v>
      </c>
      <c r="E9" s="4" t="s">
        <v>59</v>
      </c>
      <c r="F9" s="34">
        <v>5</v>
      </c>
      <c r="G9" s="52">
        <f>+'[1]EJE 1'!$W$100</f>
        <v>136800884.17609286</v>
      </c>
      <c r="H9" s="36">
        <f>+'año 2008'!G9+'año 2010'!G9+'año 2009'!G9+'año 2011'!G9</f>
        <v>141853186</v>
      </c>
      <c r="I9" s="43">
        <f>J9/G9*100</f>
        <v>89.83508530676369</v>
      </c>
      <c r="J9" s="43">
        <f>+'año 2008'!I9+'año 2010'!I9+'año 2009'!I9+'año 2011'!J9</f>
        <v>122895191</v>
      </c>
      <c r="M9" s="1" t="s">
        <v>16</v>
      </c>
      <c r="N9" s="8">
        <v>88534792</v>
      </c>
      <c r="O9" s="8">
        <v>75398361</v>
      </c>
      <c r="P9" s="9">
        <v>85.16240824285214</v>
      </c>
      <c r="Q9" s="1">
        <v>5600000</v>
      </c>
      <c r="R9" s="1">
        <v>58845991</v>
      </c>
      <c r="S9" s="58">
        <v>10952370</v>
      </c>
      <c r="T9" s="1"/>
    </row>
    <row r="10" spans="1:20" ht="63.75" customHeight="1">
      <c r="A10" s="1"/>
      <c r="B10" s="136"/>
      <c r="C10" s="62" t="s">
        <v>96</v>
      </c>
      <c r="D10" s="34">
        <v>9</v>
      </c>
      <c r="E10" s="4" t="s">
        <v>61</v>
      </c>
      <c r="F10" s="34">
        <v>9</v>
      </c>
      <c r="G10" s="53">
        <v>0</v>
      </c>
      <c r="H10" s="43">
        <v>0</v>
      </c>
      <c r="I10" s="43"/>
      <c r="J10" s="43">
        <f>+'año 2008'!I10+'año 2010'!I10+'año 2009'!I10+'año 2011'!J10</f>
        <v>0</v>
      </c>
      <c r="K10" s="18" t="s">
        <v>43</v>
      </c>
      <c r="M10" s="1" t="s">
        <v>12</v>
      </c>
      <c r="N10" s="8">
        <v>619656142</v>
      </c>
      <c r="O10" s="8">
        <v>545807830</v>
      </c>
      <c r="P10" s="9">
        <v>88.08237235870084</v>
      </c>
      <c r="Q10" s="1">
        <v>3066100</v>
      </c>
      <c r="R10" s="1">
        <v>339668153</v>
      </c>
      <c r="S10" s="58">
        <v>203073577</v>
      </c>
      <c r="T10" s="61" t="s">
        <v>125</v>
      </c>
    </row>
    <row r="11" spans="1:20" ht="23.25" customHeight="1">
      <c r="A11" s="1"/>
      <c r="B11" s="136"/>
      <c r="C11" s="19" t="s">
        <v>98</v>
      </c>
      <c r="D11" s="35">
        <v>4</v>
      </c>
      <c r="E11" s="4" t="s">
        <v>63</v>
      </c>
      <c r="F11" s="35">
        <v>4</v>
      </c>
      <c r="G11" s="52">
        <f>+'[1]EJE 1'!$W$138</f>
        <v>989075057.1173167</v>
      </c>
      <c r="H11" s="36">
        <f>+'año 2008'!G11+'año 2010'!G11+'año 2009'!G11+'año 2011'!G11</f>
        <v>1888948525</v>
      </c>
      <c r="I11" s="43">
        <f>J11/G11*100</f>
        <v>157.87044984744688</v>
      </c>
      <c r="J11" s="43">
        <f>+'año 2008'!I11+'año 2010'!I11+'año 2009'!I11+'año 2011'!J11</f>
        <v>1561457242</v>
      </c>
      <c r="M11" s="1" t="s">
        <v>50</v>
      </c>
      <c r="N11" s="8">
        <v>687091731</v>
      </c>
      <c r="O11" s="8">
        <v>199686446</v>
      </c>
      <c r="P11" s="9">
        <v>29.062559843264946</v>
      </c>
      <c r="Q11" s="1">
        <v>0</v>
      </c>
      <c r="R11" s="1">
        <v>199686446</v>
      </c>
      <c r="S11" s="58">
        <v>0</v>
      </c>
      <c r="T11" s="1"/>
    </row>
    <row r="12" spans="1:20" ht="45">
      <c r="A12" s="1"/>
      <c r="B12" s="136"/>
      <c r="C12" s="62" t="s">
        <v>99</v>
      </c>
      <c r="D12" s="34">
        <v>22</v>
      </c>
      <c r="E12" s="4" t="s">
        <v>64</v>
      </c>
      <c r="F12" s="34">
        <v>22</v>
      </c>
      <c r="G12" s="52">
        <f>+'[1]EJE 1'!$W$112</f>
        <v>389764095.84019256</v>
      </c>
      <c r="H12" s="36">
        <f>+'año 2008'!G12+'año 2010'!G12+'año 2009'!G12+'año 2011'!G12</f>
        <v>382946118</v>
      </c>
      <c r="I12" s="43">
        <f>J12/G12*100</f>
        <v>89.20693458192704</v>
      </c>
      <c r="J12" s="43">
        <f>+'año 2008'!I12+'año 2010'!I12+'año 2009'!I12+'año 2011'!J12</f>
        <v>347696602</v>
      </c>
      <c r="M12" s="1" t="s">
        <v>8</v>
      </c>
      <c r="N12" s="8">
        <v>87028054</v>
      </c>
      <c r="O12" s="8">
        <v>80231054</v>
      </c>
      <c r="P12" s="9">
        <v>92.18987477302434</v>
      </c>
      <c r="Q12" s="1">
        <v>0</v>
      </c>
      <c r="R12" s="1">
        <v>80231054</v>
      </c>
      <c r="S12" s="58">
        <v>0</v>
      </c>
      <c r="T12" s="1"/>
    </row>
    <row r="13" spans="1:20" ht="27" customHeight="1">
      <c r="A13" s="1"/>
      <c r="B13" s="136"/>
      <c r="C13" s="55" t="s">
        <v>119</v>
      </c>
      <c r="D13" s="34">
        <v>20</v>
      </c>
      <c r="E13" s="4" t="s">
        <v>65</v>
      </c>
      <c r="F13" s="34">
        <v>20</v>
      </c>
      <c r="G13" s="52">
        <f>+'[1]EJE 1'!$W$220</f>
        <v>130718683.82664001</v>
      </c>
      <c r="H13" s="36">
        <f>+'año 2008'!G14+'año 2010'!G13+'año 2009'!G14+'año 2011'!G13</f>
        <v>61317019</v>
      </c>
      <c r="I13" s="43">
        <f>J13/G13*100</f>
        <v>32.622940922932735</v>
      </c>
      <c r="J13" s="43">
        <f>+'año 2008'!I14+'año 2010'!I14+'año 2009'!I14+'año 2011'!J13</f>
        <v>42644279</v>
      </c>
      <c r="M13" s="1" t="s">
        <v>13</v>
      </c>
      <c r="N13" s="8">
        <v>323438594</v>
      </c>
      <c r="O13" s="8">
        <v>316378997</v>
      </c>
      <c r="P13" s="9">
        <v>97.81733004936325</v>
      </c>
      <c r="Q13" s="1">
        <v>61816990</v>
      </c>
      <c r="R13" s="1">
        <v>134562007</v>
      </c>
      <c r="S13" s="58">
        <v>120000000</v>
      </c>
      <c r="T13" s="1"/>
    </row>
    <row r="14" spans="1:20" ht="24">
      <c r="A14" s="1"/>
      <c r="B14" s="28"/>
      <c r="C14" s="38" t="s">
        <v>115</v>
      </c>
      <c r="D14" s="1"/>
      <c r="E14" s="1"/>
      <c r="F14" s="1"/>
      <c r="G14" s="54">
        <f>SUM(G8:G13)</f>
        <v>3924257057.6210318</v>
      </c>
      <c r="H14" s="44">
        <f>SUM(H8:H13)</f>
        <v>5988125224</v>
      </c>
      <c r="I14" s="45">
        <f>J14/G14*100</f>
        <v>107.95414764618387</v>
      </c>
      <c r="J14" s="45">
        <f>SUM(J8:J13)</f>
        <v>4236398258</v>
      </c>
      <c r="M14" s="1" t="s">
        <v>27</v>
      </c>
      <c r="N14" s="8">
        <v>0</v>
      </c>
      <c r="O14" s="8">
        <v>0</v>
      </c>
      <c r="P14" s="9" t="e">
        <v>#DIV/0!</v>
      </c>
      <c r="Q14" s="1">
        <v>0</v>
      </c>
      <c r="R14" s="1">
        <v>0</v>
      </c>
      <c r="S14" s="58">
        <v>0</v>
      </c>
      <c r="T14" s="60" t="s">
        <v>123</v>
      </c>
    </row>
    <row r="15" spans="1:20" ht="15" hidden="1">
      <c r="A15" s="1"/>
      <c r="B15" s="28"/>
      <c r="C15" s="2"/>
      <c r="D15" s="1"/>
      <c r="E15" s="1"/>
      <c r="F15" s="1"/>
      <c r="G15" s="42"/>
      <c r="H15" s="43"/>
      <c r="I15" s="43"/>
      <c r="J15" s="43"/>
      <c r="M15" s="1" t="s">
        <v>51</v>
      </c>
      <c r="N15" s="8">
        <v>32076953</v>
      </c>
      <c r="O15" s="8">
        <v>24777660</v>
      </c>
      <c r="P15" s="9">
        <v>77.24443153936721</v>
      </c>
      <c r="Q15" s="1">
        <v>0</v>
      </c>
      <c r="R15" s="1">
        <v>24777660</v>
      </c>
      <c r="S15" s="58">
        <v>0</v>
      </c>
      <c r="T15" s="1"/>
    </row>
    <row r="16" spans="1:20" ht="15">
      <c r="A16" s="1"/>
      <c r="B16" s="28"/>
      <c r="C16" s="2"/>
      <c r="D16" s="1"/>
      <c r="E16" s="1"/>
      <c r="F16" s="1"/>
      <c r="G16" s="42"/>
      <c r="H16" s="36"/>
      <c r="I16" s="43"/>
      <c r="J16" s="43"/>
      <c r="M16" s="1" t="s">
        <v>6</v>
      </c>
      <c r="N16" s="8"/>
      <c r="O16" s="8">
        <v>0</v>
      </c>
      <c r="P16" s="9" t="e">
        <v>#DIV/0!</v>
      </c>
      <c r="Q16" s="1"/>
      <c r="R16" s="1"/>
      <c r="S16" s="58"/>
      <c r="T16" s="1"/>
    </row>
    <row r="17" spans="1:20" ht="30">
      <c r="A17" s="63" t="s">
        <v>9</v>
      </c>
      <c r="B17" s="135">
        <v>51</v>
      </c>
      <c r="C17" s="62" t="s">
        <v>88</v>
      </c>
      <c r="D17" s="34">
        <v>24</v>
      </c>
      <c r="E17" s="4" t="s">
        <v>67</v>
      </c>
      <c r="F17" s="34">
        <v>24</v>
      </c>
      <c r="G17" s="52">
        <f>+'[1]EJE 2'!$M$10</f>
        <v>1391017820.6172023</v>
      </c>
      <c r="H17" s="36">
        <f>+'año 2008'!G17+'año 2010'!G18+'año 2009'!G18+'año 2011'!G18</f>
        <v>2465389585</v>
      </c>
      <c r="I17" s="43">
        <f aca="true" t="shared" si="0" ref="I17:I24">J17/G17*100</f>
        <v>141.8883629488127</v>
      </c>
      <c r="J17" s="43">
        <f>+'año 2008'!I17+'año 2010'!I18+'año 2009'!I18+'año 2011'!J18</f>
        <v>1973692414</v>
      </c>
      <c r="M17" s="1" t="s">
        <v>30</v>
      </c>
      <c r="N17" s="8">
        <v>127710766</v>
      </c>
      <c r="O17" s="8">
        <v>100058433</v>
      </c>
      <c r="P17" s="9">
        <v>78.34768840083537</v>
      </c>
      <c r="Q17" s="1">
        <v>63366057</v>
      </c>
      <c r="R17" s="1">
        <v>36692376</v>
      </c>
      <c r="S17" s="58">
        <v>0</v>
      </c>
      <c r="T17" s="1"/>
    </row>
    <row r="18" spans="1:20" ht="15">
      <c r="A18" s="1"/>
      <c r="B18" s="136"/>
      <c r="C18" s="3" t="s">
        <v>89</v>
      </c>
      <c r="D18" s="34">
        <v>4</v>
      </c>
      <c r="E18" s="1" t="s">
        <v>68</v>
      </c>
      <c r="F18" s="34">
        <v>4</v>
      </c>
      <c r="G18" s="52">
        <f>+'[1]PLAN PLURIANUAL TORO 2008-2011'!$I$3</f>
        <v>232135634.10177284</v>
      </c>
      <c r="H18" s="36">
        <f>+'año 2008'!G18+'año 2010'!G19+'año 2009'!G19+'año 2011'!G19</f>
        <v>317574135</v>
      </c>
      <c r="I18" s="43">
        <f t="shared" si="0"/>
        <v>112.97169261183981</v>
      </c>
      <c r="J18" s="43">
        <f>+'año 2008'!I18+'año 2010'!I19+'año 2009'!I19+'año 2011'!J19</f>
        <v>262247555</v>
      </c>
      <c r="M18" s="1" t="s">
        <v>31</v>
      </c>
      <c r="N18" s="8">
        <v>848697</v>
      </c>
      <c r="O18" s="8">
        <v>0</v>
      </c>
      <c r="P18" s="9">
        <v>0</v>
      </c>
      <c r="Q18" s="1">
        <v>0</v>
      </c>
      <c r="R18" s="1">
        <v>0</v>
      </c>
      <c r="S18" s="58">
        <v>0</v>
      </c>
      <c r="T18" s="1"/>
    </row>
    <row r="19" spans="1:20" ht="30">
      <c r="A19" s="1"/>
      <c r="B19" s="136"/>
      <c r="C19" s="3" t="s">
        <v>90</v>
      </c>
      <c r="D19" s="34">
        <v>30</v>
      </c>
      <c r="E19" s="4" t="s">
        <v>69</v>
      </c>
      <c r="F19" s="34">
        <v>30</v>
      </c>
      <c r="G19" s="52">
        <f>+'[1]EJE 2'!$M$377</f>
        <v>9458606767.087246</v>
      </c>
      <c r="H19" s="36">
        <f>+'año 2008'!G19+'año 2010'!G20+'año 2009'!G20+'año 2011'!G20</f>
        <v>12606581254</v>
      </c>
      <c r="I19" s="43">
        <f t="shared" si="0"/>
        <v>110.64142803161181</v>
      </c>
      <c r="J19" s="43">
        <f>+'año 2008'!I19+'año 2010'!I20+'año 2009'!I20+'año 2011'!J20</f>
        <v>10465137599</v>
      </c>
      <c r="M19" s="1" t="s">
        <v>44</v>
      </c>
      <c r="N19" s="8">
        <v>20800448</v>
      </c>
      <c r="O19" s="8">
        <v>15828170</v>
      </c>
      <c r="P19" s="9">
        <v>76.09533217746079</v>
      </c>
      <c r="Q19" s="1">
        <v>13513412</v>
      </c>
      <c r="R19" s="1">
        <v>2314758</v>
      </c>
      <c r="S19" s="58">
        <v>0</v>
      </c>
      <c r="T19" s="1"/>
    </row>
    <row r="20" spans="1:20" ht="60">
      <c r="A20" s="1"/>
      <c r="B20" s="136"/>
      <c r="C20" s="62" t="s">
        <v>91</v>
      </c>
      <c r="D20" s="34">
        <v>7</v>
      </c>
      <c r="E20" s="4" t="s">
        <v>70</v>
      </c>
      <c r="F20" s="34">
        <v>7</v>
      </c>
      <c r="G20" s="52">
        <f>+'[1]EJE 2'!$M$333</f>
        <v>508373815.5535604</v>
      </c>
      <c r="H20" s="36">
        <f>+'año 2008'!G20+'año 2010'!G21+'año 2009'!G21+'año 2011'!G21</f>
        <v>456721259</v>
      </c>
      <c r="I20" s="43">
        <f t="shared" si="0"/>
        <v>44.21769161246599</v>
      </c>
      <c r="J20" s="43">
        <f>+'año 2008'!I20+'año 2010'!I21+'año 2009'!I21+'año 2011'!J21</f>
        <v>224791166</v>
      </c>
      <c r="M20" s="1" t="s">
        <v>33</v>
      </c>
      <c r="N20" s="8">
        <v>165707564</v>
      </c>
      <c r="O20" s="8">
        <v>97951665</v>
      </c>
      <c r="P20" s="9">
        <v>59.111161033059425</v>
      </c>
      <c r="Q20" s="1">
        <v>18361800</v>
      </c>
      <c r="R20" s="1">
        <v>79589865</v>
      </c>
      <c r="S20" s="58">
        <v>0</v>
      </c>
      <c r="T20" s="1"/>
    </row>
    <row r="21" spans="1:20" ht="30">
      <c r="A21" s="1"/>
      <c r="B21" s="136"/>
      <c r="C21" s="62" t="s">
        <v>92</v>
      </c>
      <c r="D21" s="34">
        <v>10</v>
      </c>
      <c r="E21" s="4" t="s">
        <v>71</v>
      </c>
      <c r="F21" s="34">
        <v>10</v>
      </c>
      <c r="G21" s="52">
        <f>+'[1]EJE 2'!$M$425</f>
        <v>262357300.93591636</v>
      </c>
      <c r="H21" s="36">
        <f>+'año 2008'!G21+'año 2010'!G22+'año 2009'!G22+'año 2011'!G22</f>
        <v>473244614</v>
      </c>
      <c r="I21" s="43">
        <f t="shared" si="0"/>
        <v>153.35815453379644</v>
      </c>
      <c r="J21" s="43">
        <f>+'año 2008'!I21+'año 2010'!I22+'año 2009'!I22+'año 2011'!J22</f>
        <v>402346315</v>
      </c>
      <c r="M21" s="1" t="s">
        <v>52</v>
      </c>
      <c r="N21" s="8">
        <v>54000000</v>
      </c>
      <c r="O21" s="8">
        <v>39715206</v>
      </c>
      <c r="P21" s="9">
        <v>73.54667777777777</v>
      </c>
      <c r="Q21" s="1">
        <v>0</v>
      </c>
      <c r="R21" s="1">
        <v>39715206</v>
      </c>
      <c r="S21" s="58">
        <v>0</v>
      </c>
      <c r="T21" s="1"/>
    </row>
    <row r="22" spans="1:20" ht="30">
      <c r="A22" s="1"/>
      <c r="B22" s="136"/>
      <c r="C22" s="62" t="s">
        <v>93</v>
      </c>
      <c r="D22" s="34">
        <v>10</v>
      </c>
      <c r="E22" s="4" t="s">
        <v>72</v>
      </c>
      <c r="F22" s="34">
        <v>10</v>
      </c>
      <c r="G22" s="52">
        <f>+'[1]EJE 2'!$M$456</f>
        <v>271118091.551224</v>
      </c>
      <c r="H22" s="36">
        <f>+'año 2008'!G22+'año 2010'!G23+'año 2009'!G23+'año 2011'!G23</f>
        <v>504085324</v>
      </c>
      <c r="I22" s="43">
        <f t="shared" si="0"/>
        <v>177.07560427751642</v>
      </c>
      <c r="J22" s="43">
        <f>+'año 2008'!I22+'año 2010'!I23+'año 2009'!I23+'año 2011'!J23</f>
        <v>480083998.92</v>
      </c>
      <c r="M22" s="1" t="s">
        <v>53</v>
      </c>
      <c r="N22" s="8">
        <v>468468094</v>
      </c>
      <c r="O22" s="8">
        <v>354344830</v>
      </c>
      <c r="P22" s="9">
        <v>75.63905301947842</v>
      </c>
      <c r="Q22" s="1">
        <v>0</v>
      </c>
      <c r="R22" s="1">
        <v>354344830</v>
      </c>
      <c r="S22" s="58">
        <v>0</v>
      </c>
      <c r="T22" s="1"/>
    </row>
    <row r="23" spans="1:20" ht="15">
      <c r="A23" s="1"/>
      <c r="B23" s="136"/>
      <c r="C23" s="3" t="s">
        <v>94</v>
      </c>
      <c r="D23" s="34">
        <v>15</v>
      </c>
      <c r="E23" s="4" t="s">
        <v>74</v>
      </c>
      <c r="F23" s="34">
        <v>15</v>
      </c>
      <c r="G23" s="52">
        <f>+'[1]EJE 2'!$M$226</f>
        <v>387002573.14009416</v>
      </c>
      <c r="H23" s="36">
        <f>+'año 2008'!G23+'año 2010'!G24+'año 2009'!G24+'año 2011'!G24</f>
        <v>810214397</v>
      </c>
      <c r="I23" s="43">
        <f t="shared" si="0"/>
        <v>151.34717302976986</v>
      </c>
      <c r="J23" s="43">
        <f>+'año 2008'!I23+'año 2010'!I24+'año 2009'!I24+'año 2011'!J24</f>
        <v>585717454</v>
      </c>
      <c r="M23" s="1" t="s">
        <v>36</v>
      </c>
      <c r="N23" s="8">
        <v>141486440</v>
      </c>
      <c r="O23" s="8">
        <v>130141339</v>
      </c>
      <c r="P23" s="9">
        <v>91.98149236068134</v>
      </c>
      <c r="Q23" s="1">
        <v>5342071</v>
      </c>
      <c r="R23" s="1">
        <v>63146960</v>
      </c>
      <c r="S23" s="58">
        <v>61652308</v>
      </c>
      <c r="T23" s="1"/>
    </row>
    <row r="24" spans="1:20" ht="15">
      <c r="A24" s="1"/>
      <c r="B24" s="137"/>
      <c r="C24" s="3" t="s">
        <v>110</v>
      </c>
      <c r="D24" s="34"/>
      <c r="E24" s="1" t="s">
        <v>73</v>
      </c>
      <c r="F24" s="34"/>
      <c r="G24" s="52">
        <f>+'[1]EJE 2'!$M$266</f>
        <v>63243941.124</v>
      </c>
      <c r="H24" s="36">
        <f>+'año 2008'!G24+'año 2010'!G25+'año 2009'!G25+'año 2011'!G25</f>
        <v>45300448</v>
      </c>
      <c r="I24" s="43">
        <f t="shared" si="0"/>
        <v>52.6505296921856</v>
      </c>
      <c r="J24" s="43">
        <f>+'año 2008'!I24+'año 2010'!I25+'año 2009'!I25+'año 2011'!J25</f>
        <v>33298270</v>
      </c>
      <c r="M24" s="1" t="s">
        <v>10</v>
      </c>
      <c r="N24" s="8">
        <v>89371213</v>
      </c>
      <c r="O24" s="8">
        <v>82119274</v>
      </c>
      <c r="P24" s="9">
        <v>91.88559855397733</v>
      </c>
      <c r="Q24" s="1">
        <v>16743950</v>
      </c>
      <c r="R24" s="1">
        <v>65375324</v>
      </c>
      <c r="S24" s="58">
        <v>0</v>
      </c>
      <c r="T24" s="1"/>
    </row>
    <row r="25" spans="1:20" ht="24">
      <c r="A25" s="1"/>
      <c r="B25" s="28"/>
      <c r="C25" s="38" t="s">
        <v>115</v>
      </c>
      <c r="D25" s="1"/>
      <c r="E25" s="1"/>
      <c r="F25" s="1"/>
      <c r="G25" s="54">
        <f>SUM(G17:G24)</f>
        <v>12573855944.111017</v>
      </c>
      <c r="H25" s="44">
        <f>SUM(H17:H24)</f>
        <v>17679111016</v>
      </c>
      <c r="I25" s="45">
        <f>J25/G25*100</f>
        <v>114.74057628819148</v>
      </c>
      <c r="J25" s="45">
        <f>SUM(J17:J24)</f>
        <v>14427314771.92</v>
      </c>
      <c r="M25" s="1" t="s">
        <v>37</v>
      </c>
      <c r="N25" s="8">
        <v>100515085</v>
      </c>
      <c r="O25" s="8">
        <v>51100871</v>
      </c>
      <c r="P25" s="9">
        <v>50.83900640386465</v>
      </c>
      <c r="Q25" s="1">
        <v>22500000</v>
      </c>
      <c r="R25" s="1">
        <v>28600870.5</v>
      </c>
      <c r="S25" s="58">
        <v>0</v>
      </c>
      <c r="T25" s="60" t="s">
        <v>123</v>
      </c>
    </row>
    <row r="26" spans="1:20" ht="15">
      <c r="A26" s="1"/>
      <c r="B26" s="28"/>
      <c r="C26" s="3"/>
      <c r="D26" s="1"/>
      <c r="E26" s="1"/>
      <c r="F26" s="1"/>
      <c r="G26" s="42"/>
      <c r="H26" s="45"/>
      <c r="I26" s="43"/>
      <c r="J26" s="45"/>
      <c r="M26" s="1" t="s">
        <v>54</v>
      </c>
      <c r="N26" s="8">
        <v>52050774</v>
      </c>
      <c r="O26" s="8">
        <v>44968012</v>
      </c>
      <c r="P26" s="9">
        <v>86.39259043487039</v>
      </c>
      <c r="Q26" s="1">
        <v>22092022</v>
      </c>
      <c r="R26" s="1">
        <v>0</v>
      </c>
      <c r="S26" s="58">
        <v>22875990</v>
      </c>
      <c r="T26" s="1"/>
    </row>
    <row r="27" spans="1:20" ht="47.25" customHeight="1">
      <c r="A27" s="63" t="s">
        <v>15</v>
      </c>
      <c r="B27" s="135">
        <v>10</v>
      </c>
      <c r="C27" s="39" t="s">
        <v>86</v>
      </c>
      <c r="D27" s="1">
        <v>30</v>
      </c>
      <c r="E27" s="29" t="s">
        <v>75</v>
      </c>
      <c r="F27" s="1">
        <v>30</v>
      </c>
      <c r="G27" s="52">
        <f>+'[1]EJE 3'!$M$140</f>
        <v>174466048.8416511</v>
      </c>
      <c r="H27" s="47">
        <f>+'año 2008'!G27+'año 2010'!G28+'año 2009'!G28+'año 2011'!G28</f>
        <v>146231577</v>
      </c>
      <c r="I27" s="43">
        <f aca="true" t="shared" si="1" ref="I27:I35">J27/G27*100</f>
        <v>42.455486033977756</v>
      </c>
      <c r="J27" s="43">
        <f>+'año 2008'!I27+'año 2010'!I28+'año 2009'!I28+'año 2011'!J28</f>
        <v>74070409</v>
      </c>
      <c r="M27" s="1" t="s">
        <v>11</v>
      </c>
      <c r="N27" s="8">
        <v>3752917667</v>
      </c>
      <c r="O27" s="8">
        <v>3002972956</v>
      </c>
      <c r="P27" s="9">
        <v>80.0170220201103</v>
      </c>
      <c r="Q27" s="1">
        <v>0</v>
      </c>
      <c r="R27" s="1">
        <v>1608628569</v>
      </c>
      <c r="S27" s="58">
        <v>1394344387</v>
      </c>
      <c r="T27" s="1"/>
    </row>
    <row r="28" spans="1:20" ht="45">
      <c r="A28" s="1"/>
      <c r="B28" s="137"/>
      <c r="C28" s="62" t="s">
        <v>87</v>
      </c>
      <c r="D28" s="1">
        <v>70</v>
      </c>
      <c r="E28" s="4" t="s">
        <v>76</v>
      </c>
      <c r="F28" s="1">
        <v>70</v>
      </c>
      <c r="G28" s="52">
        <f>+'[1]EJE 3'!$M$253</f>
        <v>277317376.0631274</v>
      </c>
      <c r="H28" s="33">
        <f>+'año 2008'!G28+'año 2010'!G29+'año 2009'!G29+'año 2011'!G29</f>
        <v>191518085</v>
      </c>
      <c r="I28" s="43">
        <f t="shared" si="1"/>
        <v>53.41814281636593</v>
      </c>
      <c r="J28" s="43">
        <f>+'año 2008'!I28+'año 2010'!I29+'año 2009'!I29+'año 2011'!J29</f>
        <v>148137792</v>
      </c>
      <c r="M28" s="1" t="s">
        <v>55</v>
      </c>
      <c r="N28" s="8">
        <v>184696588</v>
      </c>
      <c r="O28" s="8">
        <v>150273337</v>
      </c>
      <c r="P28" s="9">
        <v>81.36227021151035</v>
      </c>
      <c r="Q28" s="1">
        <v>0</v>
      </c>
      <c r="R28" s="1">
        <v>150273337</v>
      </c>
      <c r="S28" s="58">
        <v>0</v>
      </c>
      <c r="T28" s="1"/>
    </row>
    <row r="29" spans="1:20" ht="26.25" customHeight="1">
      <c r="A29" s="1"/>
      <c r="B29" s="28"/>
      <c r="C29" s="38" t="s">
        <v>115</v>
      </c>
      <c r="D29" s="1"/>
      <c r="E29" s="1"/>
      <c r="F29" s="1"/>
      <c r="G29" s="54">
        <f>SUM(G27:G28)</f>
        <v>451783424.9047785</v>
      </c>
      <c r="H29" s="48">
        <f>SUM(H27:H28)</f>
        <v>337749662</v>
      </c>
      <c r="I29" s="43">
        <f>+J29/G29*100+1</f>
        <v>50.184673175390266</v>
      </c>
      <c r="J29" s="56">
        <f>SUM(J27:J28)</f>
        <v>222208201</v>
      </c>
      <c r="M29" s="1" t="s">
        <v>7</v>
      </c>
      <c r="N29" s="8">
        <v>2547339</v>
      </c>
      <c r="O29" s="8">
        <v>0</v>
      </c>
      <c r="P29" s="9">
        <v>0</v>
      </c>
      <c r="Q29" s="1">
        <v>0</v>
      </c>
      <c r="R29" s="1">
        <v>0</v>
      </c>
      <c r="S29" s="58">
        <v>0</v>
      </c>
      <c r="T29" s="60" t="s">
        <v>124</v>
      </c>
    </row>
    <row r="30" spans="1:20" ht="15">
      <c r="A30" s="1"/>
      <c r="B30" s="28"/>
      <c r="C30" s="3"/>
      <c r="D30" s="1"/>
      <c r="E30" s="1"/>
      <c r="F30" s="1"/>
      <c r="G30" s="47"/>
      <c r="H30" s="42"/>
      <c r="I30" s="43"/>
      <c r="J30" s="43"/>
      <c r="M30" s="1" t="s">
        <v>25</v>
      </c>
      <c r="N30" s="8">
        <v>18750169</v>
      </c>
      <c r="O30" s="8">
        <v>18620524</v>
      </c>
      <c r="P30" s="9">
        <v>99.30856623212303</v>
      </c>
      <c r="Q30" s="1">
        <v>0</v>
      </c>
      <c r="R30" s="1">
        <v>18620524</v>
      </c>
      <c r="S30" s="58">
        <v>0</v>
      </c>
      <c r="T30" s="1"/>
    </row>
    <row r="31" spans="1:20" ht="30">
      <c r="A31" s="63" t="s">
        <v>14</v>
      </c>
      <c r="B31" s="135">
        <v>15</v>
      </c>
      <c r="C31" s="3" t="s">
        <v>81</v>
      </c>
      <c r="D31" s="1">
        <v>10</v>
      </c>
      <c r="E31" s="4" t="s">
        <v>79</v>
      </c>
      <c r="F31" s="1">
        <v>10</v>
      </c>
      <c r="G31" s="52">
        <f>+'[1]EJE 4'!$M$306+'[1]EJE 4'!$M$197+'[1]EJE 4'!$M$362</f>
        <v>395100994.6942313</v>
      </c>
      <c r="H31" s="36">
        <f>+'año 2008'!G31+'año 2010'!G32+'año 2009'!G32+'año 2011'!G32</f>
        <v>682145422</v>
      </c>
      <c r="I31" s="43">
        <f t="shared" si="1"/>
        <v>149.48669654883648</v>
      </c>
      <c r="J31" s="43">
        <f>+'año 2008'!I31+'año 2010'!I32+'año 2009'!I32+'año 2011'!J32</f>
        <v>590623425</v>
      </c>
      <c r="M31" s="24" t="s">
        <v>40</v>
      </c>
      <c r="N31" s="16">
        <v>7041553110</v>
      </c>
      <c r="O31" s="16">
        <f>SUM(O9:O30)</f>
        <v>5330374965</v>
      </c>
      <c r="P31" s="25">
        <v>76.03758546869783</v>
      </c>
      <c r="Q31" s="24">
        <v>232402402</v>
      </c>
      <c r="R31" s="24">
        <v>3308925930</v>
      </c>
      <c r="S31" s="59">
        <v>1812898632.3400002</v>
      </c>
      <c r="T31" s="1"/>
    </row>
    <row r="32" spans="1:20" ht="24">
      <c r="A32" s="1"/>
      <c r="B32" s="136"/>
      <c r="C32" s="55" t="s">
        <v>82</v>
      </c>
      <c r="D32" s="1">
        <v>2</v>
      </c>
      <c r="E32" s="1" t="s">
        <v>111</v>
      </c>
      <c r="F32" s="1">
        <v>2</v>
      </c>
      <c r="G32" s="52">
        <f>+'[1]EJE 4'!$M$201</f>
        <v>126487882.248</v>
      </c>
      <c r="H32" s="36">
        <f>+'año 2008'!G32+'año 2010'!G33+'año 2009'!G33+'año 2011'!G33</f>
        <v>132345753</v>
      </c>
      <c r="I32" s="43">
        <f t="shared" si="1"/>
        <v>79.87583332441912</v>
      </c>
      <c r="J32" s="43">
        <f>+'año 2008'!I32+'año 2010'!I33+'año 2009'!I33+'año 2011'!J33</f>
        <v>101033250</v>
      </c>
      <c r="T32" s="1"/>
    </row>
    <row r="33" spans="1:22" ht="30">
      <c r="A33" s="1"/>
      <c r="B33" s="136"/>
      <c r="C33" s="62" t="s">
        <v>83</v>
      </c>
      <c r="D33" s="1">
        <v>10</v>
      </c>
      <c r="E33" s="4" t="s">
        <v>112</v>
      </c>
      <c r="F33" s="1">
        <v>10</v>
      </c>
      <c r="G33" s="52">
        <f>+'[1]EJE 4'!$M$169</f>
        <v>107296617.35520001</v>
      </c>
      <c r="H33" s="36">
        <f>+'año 2008'!G33+'año 2010'!G34+'año 2009'!G34+'año 2011'!G34</f>
        <v>203116549</v>
      </c>
      <c r="I33" s="43">
        <f t="shared" si="1"/>
        <v>56.459543174092516</v>
      </c>
      <c r="J33" s="43">
        <f>+'año 2008'!I33+'año 2010'!I34+'año 2009'!I34+'año 2011'!J34</f>
        <v>60579180</v>
      </c>
      <c r="T33" s="1"/>
      <c r="V33" s="55"/>
    </row>
    <row r="34" spans="1:20" ht="30">
      <c r="A34" s="21"/>
      <c r="B34" s="136"/>
      <c r="C34" s="62" t="s">
        <v>84</v>
      </c>
      <c r="D34" s="1">
        <v>40</v>
      </c>
      <c r="E34" s="4" t="s">
        <v>77</v>
      </c>
      <c r="F34" s="1">
        <v>40</v>
      </c>
      <c r="G34" s="52">
        <f>+'[1]EJE 4'!$M$277</f>
        <v>422238459.5173596</v>
      </c>
      <c r="H34" s="36">
        <f>+'año 2008'!G34+'año 2010'!G35+'año 2009'!G35+'año 2011'!G35</f>
        <v>610807366</v>
      </c>
      <c r="I34" s="43">
        <f t="shared" si="1"/>
        <v>119.20161502467472</v>
      </c>
      <c r="J34" s="43">
        <f>+'año 2008'!I34+'año 2010'!I35+'año 2009'!I35+'año 2011'!J35</f>
        <v>503315063</v>
      </c>
      <c r="T34" s="1"/>
    </row>
    <row r="35" spans="1:20" ht="60">
      <c r="A35" s="21"/>
      <c r="B35" s="137"/>
      <c r="C35" s="62" t="s">
        <v>85</v>
      </c>
      <c r="D35" s="1">
        <v>2</v>
      </c>
      <c r="E35" s="4" t="s">
        <v>78</v>
      </c>
      <c r="F35" s="1">
        <v>2</v>
      </c>
      <c r="G35" s="52">
        <f>+'[1]EJE 4'!$M$418</f>
        <v>315957971.66007113</v>
      </c>
      <c r="H35" s="36">
        <f>+'año 2008'!G35+'año 2010'!G36+'año 2009'!G36+'año 2011'!G36</f>
        <v>595769915</v>
      </c>
      <c r="I35" s="43">
        <f t="shared" si="1"/>
        <v>170.0305392446255</v>
      </c>
      <c r="J35" s="43">
        <f>+'año 2008'!I35+'año 2010'!I36+'año 2009'!I36+'año 2011'!J36</f>
        <v>537225043</v>
      </c>
      <c r="T35" s="1"/>
    </row>
    <row r="36" spans="1:20" ht="24">
      <c r="A36" s="1"/>
      <c r="B36" s="28"/>
      <c r="C36" s="38" t="s">
        <v>115</v>
      </c>
      <c r="D36" s="1"/>
      <c r="E36" s="1"/>
      <c r="F36" s="1"/>
      <c r="G36" s="56">
        <f>SUM(G31:G35)</f>
        <v>1367081925.474862</v>
      </c>
      <c r="H36" s="49">
        <f>SUM(H31:H35)</f>
        <v>2224185005</v>
      </c>
      <c r="I36" s="45">
        <f>J36/G36*100</f>
        <v>131.13888257847248</v>
      </c>
      <c r="J36" s="57">
        <f>SUM(J31:J35)</f>
        <v>1792775961</v>
      </c>
      <c r="T36" s="60" t="s">
        <v>123</v>
      </c>
    </row>
    <row r="37" spans="1:20" ht="15">
      <c r="A37" s="1"/>
      <c r="B37" s="1"/>
      <c r="C37" s="1" t="s">
        <v>40</v>
      </c>
      <c r="D37" s="1"/>
      <c r="E37" s="1"/>
      <c r="F37" s="42"/>
      <c r="G37" s="54">
        <f>+G36+G29+G25+G14</f>
        <v>18316978352.11169</v>
      </c>
      <c r="H37" s="49">
        <f>H14+H25+H29+H36</f>
        <v>26229170907</v>
      </c>
      <c r="I37" s="45">
        <f>J37/G37*100</f>
        <v>112.89360501720545</v>
      </c>
      <c r="J37" s="57">
        <f>J14+J25+J29+J36</f>
        <v>20678697191.92</v>
      </c>
      <c r="T37" s="1"/>
    </row>
    <row r="38" spans="1:20" ht="15">
      <c r="A38" s="1"/>
      <c r="B38" s="1"/>
      <c r="C38" s="1"/>
      <c r="D38" s="1"/>
      <c r="E38" s="1"/>
      <c r="F38" s="42"/>
      <c r="G38" s="42"/>
      <c r="H38" s="42"/>
      <c r="I38" s="42"/>
      <c r="J38" s="42"/>
      <c r="T38" s="1"/>
    </row>
    <row r="40" ht="15">
      <c r="A40" t="str">
        <f>'año 2009'!A42</f>
        <v>MARIA JOSEFINA LOPEZ RAMIREZ</v>
      </c>
    </row>
    <row r="41" ht="15">
      <c r="A41" t="str">
        <f>'año 2009'!A43</f>
        <v>JEFE ASESORA  OFICINA DE PLANEACION (e)</v>
      </c>
    </row>
    <row r="42" spans="1:8" ht="15">
      <c r="A42" t="str">
        <f>'año 2009'!A44</f>
        <v>Fuente</v>
      </c>
      <c r="H42" s="32"/>
    </row>
    <row r="43" ht="15">
      <c r="A43" t="s">
        <v>120</v>
      </c>
    </row>
    <row r="44" spans="6:10" ht="15" hidden="1">
      <c r="F44">
        <v>17</v>
      </c>
      <c r="H44" s="26">
        <f>+H14/H48*100</f>
        <v>85.03983610513448</v>
      </c>
      <c r="J44" s="26">
        <f>+J14/J48*100</f>
        <v>79.12250051581442</v>
      </c>
    </row>
    <row r="45" spans="6:10" ht="15" hidden="1">
      <c r="F45">
        <v>28</v>
      </c>
      <c r="H45" s="26">
        <f>+H25/H48*100</f>
        <v>251.06834727828956</v>
      </c>
      <c r="J45" s="26">
        <f>+J25/J48*100</f>
        <v>269.456540901792</v>
      </c>
    </row>
    <row r="46" spans="6:10" ht="15" hidden="1">
      <c r="F46">
        <v>32</v>
      </c>
      <c r="H46" s="26">
        <f>+H29/H48*100</f>
        <v>4.79652225473309</v>
      </c>
      <c r="J46" s="26">
        <f>+J29/J48*100</f>
        <v>4.1501453422230865</v>
      </c>
    </row>
    <row r="47" spans="6:10" ht="15" hidden="1">
      <c r="F47">
        <v>38</v>
      </c>
      <c r="H47" s="26">
        <f>+H36/H48*100</f>
        <v>31.5865686199447</v>
      </c>
      <c r="J47" s="26">
        <f>+J36/J48*100</f>
        <v>33.483376269238896</v>
      </c>
    </row>
    <row r="48" spans="8:10" ht="15" hidden="1">
      <c r="H48" s="22">
        <v>7041553110</v>
      </c>
      <c r="J48" s="22">
        <v>5354226965</v>
      </c>
    </row>
    <row r="49" ht="15" hidden="1"/>
    <row r="50" ht="15">
      <c r="A50" t="s">
        <v>127</v>
      </c>
    </row>
    <row r="51" ht="15">
      <c r="A51" t="s">
        <v>128</v>
      </c>
    </row>
  </sheetData>
  <sheetProtection/>
  <mergeCells count="7">
    <mergeCell ref="B31:B35"/>
    <mergeCell ref="B8:B13"/>
    <mergeCell ref="B17:B24"/>
    <mergeCell ref="B27:B28"/>
    <mergeCell ref="A1:T1"/>
    <mergeCell ref="A2:T2"/>
    <mergeCell ref="A3:T3"/>
  </mergeCells>
  <printOptions/>
  <pageMargins left="0.7" right="0.7" top="0.75" bottom="0.75" header="0.3" footer="0.3"/>
  <pageSetup fitToHeight="1" fitToWidth="1" horizontalDpi="600" verticalDpi="600" orientation="landscape" paperSize="5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="84" zoomScaleNormal="84" zoomScalePageLayoutView="0" workbookViewId="0" topLeftCell="A1">
      <selection activeCell="A3" sqref="A3:J3"/>
    </sheetView>
  </sheetViews>
  <sheetFormatPr defaultColWidth="11.421875" defaultRowHeight="15"/>
  <cols>
    <col min="1" max="1" width="42.57421875" style="0" customWidth="1"/>
    <col min="2" max="2" width="7.8515625" style="0" customWidth="1"/>
    <col min="3" max="3" width="40.57421875" style="0" customWidth="1"/>
    <col min="4" max="4" width="7.28125" style="0" customWidth="1"/>
    <col min="5" max="5" width="30.140625" style="0" customWidth="1"/>
    <col min="6" max="6" width="8.57421875" style="0" customWidth="1"/>
    <col min="7" max="7" width="20.28125" style="0" customWidth="1"/>
    <col min="8" max="8" width="24.7109375" style="0" customWidth="1"/>
    <col min="9" max="9" width="8.57421875" style="0" customWidth="1"/>
    <col min="10" max="10" width="20.00390625" style="0" customWidth="1"/>
    <col min="11" max="12" width="0" style="0" hidden="1" customWidth="1"/>
    <col min="13" max="13" width="47.28125" style="0" hidden="1" customWidth="1"/>
    <col min="14" max="14" width="21.57421875" style="0" hidden="1" customWidth="1"/>
    <col min="15" max="15" width="18.57421875" style="0" hidden="1" customWidth="1"/>
    <col min="16" max="16" width="14.28125" style="0" hidden="1" customWidth="1"/>
    <col min="17" max="17" width="21.7109375" style="0" hidden="1" customWidth="1"/>
    <col min="18" max="19" width="14.28125" style="0" hidden="1" customWidth="1"/>
    <col min="20" max="20" width="20.28125" style="0" bestFit="1" customWidth="1"/>
  </cols>
  <sheetData>
    <row r="1" spans="1:10" ht="15">
      <c r="A1" s="138" t="s">
        <v>103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">
      <c r="A2" s="138" t="s">
        <v>104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">
      <c r="A3" s="138" t="s">
        <v>129</v>
      </c>
      <c r="B3" s="138"/>
      <c r="C3" s="138"/>
      <c r="D3" s="138"/>
      <c r="E3" s="138"/>
      <c r="F3" s="138"/>
      <c r="G3" s="138"/>
      <c r="H3" s="138"/>
      <c r="I3" s="138"/>
      <c r="J3" s="138"/>
    </row>
    <row r="5" spans="1:10" s="18" customFormat="1" ht="30">
      <c r="A5" s="21" t="s">
        <v>0</v>
      </c>
      <c r="B5" s="21" t="s">
        <v>1</v>
      </c>
      <c r="C5" s="21" t="s">
        <v>2</v>
      </c>
      <c r="D5" s="21" t="s">
        <v>1</v>
      </c>
      <c r="E5" s="21" t="s">
        <v>41</v>
      </c>
      <c r="F5" s="40" t="s">
        <v>116</v>
      </c>
      <c r="G5" s="40" t="s">
        <v>118</v>
      </c>
      <c r="H5" s="40" t="s">
        <v>117</v>
      </c>
      <c r="I5" s="124" t="s">
        <v>132</v>
      </c>
      <c r="J5" s="40" t="s">
        <v>5</v>
      </c>
    </row>
    <row r="6" spans="6:10" ht="15" hidden="1">
      <c r="F6" s="41"/>
      <c r="G6" s="41"/>
      <c r="H6" s="41"/>
      <c r="I6" s="41"/>
      <c r="J6" s="41"/>
    </row>
    <row r="7" spans="1:19" ht="15" hidden="1">
      <c r="A7" s="1"/>
      <c r="B7" s="1"/>
      <c r="C7" s="1"/>
      <c r="D7" s="1"/>
      <c r="E7" s="1"/>
      <c r="F7" s="42"/>
      <c r="G7" s="50"/>
      <c r="H7" s="41"/>
      <c r="I7" s="41"/>
      <c r="J7" s="41"/>
      <c r="M7" s="1" t="s">
        <v>2</v>
      </c>
      <c r="N7" s="1"/>
      <c r="O7" s="24" t="s">
        <v>46</v>
      </c>
      <c r="P7" s="1"/>
      <c r="Q7" s="1"/>
      <c r="R7" s="1"/>
      <c r="S7" s="1"/>
    </row>
    <row r="8" spans="1:20" ht="25.5" customHeight="1">
      <c r="A8" s="1" t="s">
        <v>3</v>
      </c>
      <c r="B8" s="135">
        <v>24</v>
      </c>
      <c r="C8" s="1" t="s">
        <v>60</v>
      </c>
      <c r="D8" s="34">
        <v>40</v>
      </c>
      <c r="E8" s="4" t="s">
        <v>62</v>
      </c>
      <c r="F8" s="34">
        <v>40</v>
      </c>
      <c r="G8" s="52">
        <f>+'[1]EJE 1'!$W$49</f>
        <v>2277898336.6607895</v>
      </c>
      <c r="H8" s="36">
        <f>+'año 2008'!G8+'año 2010'!G8+'año 2009'!G8+'año 2011'!G8</f>
        <v>3513060376</v>
      </c>
      <c r="I8" s="43">
        <f>J8/G8*100</f>
        <v>94.89909664576518</v>
      </c>
      <c r="J8" s="36">
        <f>+'año 2008'!I8+'año 2010'!I8+'año 2009'!I8+'año 2011'!J8</f>
        <v>2161704944</v>
      </c>
      <c r="M8" s="1"/>
      <c r="N8" s="1" t="s">
        <v>56</v>
      </c>
      <c r="O8" s="1" t="s">
        <v>5</v>
      </c>
      <c r="P8" s="1" t="s">
        <v>19</v>
      </c>
      <c r="Q8" s="1" t="s">
        <v>47</v>
      </c>
      <c r="R8" s="1" t="s">
        <v>48</v>
      </c>
      <c r="S8" s="1" t="s">
        <v>49</v>
      </c>
      <c r="T8" s="26"/>
    </row>
    <row r="9" spans="1:20" ht="15">
      <c r="A9" s="1"/>
      <c r="B9" s="136"/>
      <c r="C9" s="3" t="s">
        <v>97</v>
      </c>
      <c r="D9" s="34">
        <v>5</v>
      </c>
      <c r="E9" s="1" t="s">
        <v>59</v>
      </c>
      <c r="F9" s="34">
        <v>5</v>
      </c>
      <c r="G9" s="52">
        <f>+'[1]EJE 1'!$W$100</f>
        <v>136800884.17609286</v>
      </c>
      <c r="H9" s="36">
        <f>+'año 2008'!G9+'año 2010'!G9+'año 2009'!G9+'año 2011'!G9</f>
        <v>141853186</v>
      </c>
      <c r="I9" s="52">
        <f>J9/G9*100</f>
        <v>89.83508530676369</v>
      </c>
      <c r="J9" s="36">
        <f>+'año 2008'!I9+'año 2010'!I9+'año 2009'!I9+'año 2011'!J9</f>
        <v>122895191</v>
      </c>
      <c r="M9" s="1" t="s">
        <v>16</v>
      </c>
      <c r="N9" s="8">
        <v>88534792</v>
      </c>
      <c r="O9" s="8">
        <v>75398361</v>
      </c>
      <c r="P9" s="9">
        <v>85.16240824285214</v>
      </c>
      <c r="Q9" s="1">
        <v>5600000</v>
      </c>
      <c r="R9" s="1">
        <v>58845991</v>
      </c>
      <c r="S9" s="1">
        <v>10952370</v>
      </c>
      <c r="T9" s="26"/>
    </row>
    <row r="10" spans="1:20" ht="15">
      <c r="A10" s="1"/>
      <c r="B10" s="136"/>
      <c r="C10" s="2" t="s">
        <v>96</v>
      </c>
      <c r="D10" s="34">
        <v>9</v>
      </c>
      <c r="E10" s="1" t="s">
        <v>61</v>
      </c>
      <c r="F10" s="34">
        <v>9</v>
      </c>
      <c r="G10" s="53">
        <v>0</v>
      </c>
      <c r="H10" s="43">
        <v>0</v>
      </c>
      <c r="I10" s="52"/>
      <c r="J10" s="36">
        <f>+'año 2008'!I10+'año 2010'!I10+'año 2009'!I10+'año 2011'!J10</f>
        <v>0</v>
      </c>
      <c r="K10" s="18" t="s">
        <v>43</v>
      </c>
      <c r="M10" s="1" t="s">
        <v>12</v>
      </c>
      <c r="N10" s="8">
        <v>619656142</v>
      </c>
      <c r="O10" s="8">
        <v>545807830</v>
      </c>
      <c r="P10" s="9">
        <v>88.08237235870084</v>
      </c>
      <c r="Q10" s="1">
        <v>3066100</v>
      </c>
      <c r="R10" s="1">
        <v>339668153</v>
      </c>
      <c r="S10" s="1">
        <v>203073577</v>
      </c>
      <c r="T10" s="26"/>
    </row>
    <row r="11" spans="1:20" ht="15">
      <c r="A11" s="1"/>
      <c r="B11" s="136"/>
      <c r="C11" s="19" t="s">
        <v>98</v>
      </c>
      <c r="D11" s="35">
        <v>4</v>
      </c>
      <c r="E11" s="1" t="s">
        <v>63</v>
      </c>
      <c r="F11" s="35">
        <v>4</v>
      </c>
      <c r="G11" s="52">
        <f>+'[1]EJE 1'!$W$138</f>
        <v>989075057.1173167</v>
      </c>
      <c r="H11" s="36">
        <f>+'año 2008'!G11+'año 2010'!G11+'año 2009'!G11+'año 2011'!G11</f>
        <v>1888948525</v>
      </c>
      <c r="I11" s="52">
        <f>J11/G11*100</f>
        <v>157.87044984744688</v>
      </c>
      <c r="J11" s="36">
        <f>+'año 2008'!I11+'año 2010'!I11+'año 2009'!I11+'año 2011'!J11</f>
        <v>1561457242</v>
      </c>
      <c r="M11" s="1" t="s">
        <v>50</v>
      </c>
      <c r="N11" s="8">
        <v>687091731</v>
      </c>
      <c r="O11" s="8">
        <v>199686446</v>
      </c>
      <c r="P11" s="9">
        <v>29.062559843264946</v>
      </c>
      <c r="Q11" s="1">
        <v>0</v>
      </c>
      <c r="R11" s="1">
        <v>199686446</v>
      </c>
      <c r="S11" s="1">
        <v>0</v>
      </c>
      <c r="T11" s="26"/>
    </row>
    <row r="12" spans="1:20" ht="15">
      <c r="A12" s="1"/>
      <c r="B12" s="136"/>
      <c r="C12" s="2" t="s">
        <v>99</v>
      </c>
      <c r="D12" s="34">
        <v>22</v>
      </c>
      <c r="E12" s="1" t="s">
        <v>64</v>
      </c>
      <c r="F12" s="34">
        <v>22</v>
      </c>
      <c r="G12" s="52">
        <f>+'[1]EJE 1'!$W$112</f>
        <v>389764095.84019256</v>
      </c>
      <c r="H12" s="36">
        <f>+'año 2008'!G12+'año 2010'!G12+'año 2009'!G12+'año 2011'!G12</f>
        <v>382946118</v>
      </c>
      <c r="I12" s="52">
        <f>J12/G12*100</f>
        <v>89.20693458192704</v>
      </c>
      <c r="J12" s="36">
        <f>+'año 2008'!I12+'año 2010'!I12+'año 2009'!I12+'año 2011'!J12</f>
        <v>347696602</v>
      </c>
      <c r="M12" s="1" t="s">
        <v>8</v>
      </c>
      <c r="N12" s="8">
        <v>87028054</v>
      </c>
      <c r="O12" s="8">
        <v>80231054</v>
      </c>
      <c r="P12" s="9">
        <v>92.18987477302434</v>
      </c>
      <c r="Q12" s="1">
        <v>0</v>
      </c>
      <c r="R12" s="1">
        <v>80231054</v>
      </c>
      <c r="S12" s="1">
        <v>0</v>
      </c>
      <c r="T12" s="26"/>
    </row>
    <row r="13" spans="1:20" ht="27" customHeight="1">
      <c r="A13" s="1"/>
      <c r="B13" s="136"/>
      <c r="C13" s="55" t="s">
        <v>119</v>
      </c>
      <c r="D13" s="34">
        <v>8</v>
      </c>
      <c r="E13" s="1" t="s">
        <v>65</v>
      </c>
      <c r="F13" s="34">
        <v>8</v>
      </c>
      <c r="G13" s="52">
        <f>+'[1]EJE 1'!$W$220</f>
        <v>130718683.82664001</v>
      </c>
      <c r="H13" s="36">
        <f>+'año 2008'!G14+'año 2010'!G13+'año 2009'!G14+'año 2011'!G13</f>
        <v>61317019</v>
      </c>
      <c r="I13" s="52">
        <f>J13/G13*100</f>
        <v>14.951710365995027</v>
      </c>
      <c r="J13" s="36">
        <f>+'año 2008'!I13+'año 2010'!I13+'año 2009'!I13+'año 2011'!J13</f>
        <v>19544679</v>
      </c>
      <c r="M13" s="1" t="s">
        <v>13</v>
      </c>
      <c r="N13" s="8">
        <v>323438594</v>
      </c>
      <c r="O13" s="8">
        <v>316378997</v>
      </c>
      <c r="P13" s="9">
        <v>97.81733004936325</v>
      </c>
      <c r="Q13" s="1">
        <v>61816990</v>
      </c>
      <c r="R13" s="1">
        <v>134562007</v>
      </c>
      <c r="S13" s="1">
        <v>120000000</v>
      </c>
      <c r="T13" s="26"/>
    </row>
    <row r="14" spans="1:19" ht="30" customHeight="1">
      <c r="A14" s="1"/>
      <c r="B14" s="137"/>
      <c r="C14" s="2"/>
      <c r="D14" s="34">
        <v>12</v>
      </c>
      <c r="E14" s="4"/>
      <c r="F14" s="34">
        <v>12</v>
      </c>
      <c r="G14" s="42"/>
      <c r="H14" s="43">
        <f>N17</f>
        <v>0</v>
      </c>
      <c r="I14" s="43">
        <v>0</v>
      </c>
      <c r="J14" s="36">
        <f>+'año 2008'!I14+'año 2010'!I14+'año 2009'!I14+'año 2011'!J14</f>
        <v>23099600</v>
      </c>
      <c r="M14" s="1" t="s">
        <v>26</v>
      </c>
      <c r="N14" s="8">
        <v>23856000</v>
      </c>
      <c r="O14" s="8">
        <v>23852000</v>
      </c>
      <c r="P14" s="9">
        <v>99.9832327297116</v>
      </c>
      <c r="Q14" s="1">
        <v>0</v>
      </c>
      <c r="R14" s="1">
        <v>23852000</v>
      </c>
      <c r="S14" s="1">
        <v>0</v>
      </c>
    </row>
    <row r="15" spans="1:20" ht="15">
      <c r="A15" s="1"/>
      <c r="B15" s="28"/>
      <c r="C15" s="2"/>
      <c r="D15" s="1"/>
      <c r="E15" s="1"/>
      <c r="F15" s="34"/>
      <c r="G15" s="54">
        <f>SUM(G8:G14)</f>
        <v>3924257057.6210318</v>
      </c>
      <c r="H15" s="44">
        <f>SUM(H8:H14)</f>
        <v>5988125224</v>
      </c>
      <c r="I15" s="45">
        <f>J15/G15*100</f>
        <v>107.95414764618387</v>
      </c>
      <c r="J15" s="44">
        <f>SUM(J8:J14)</f>
        <v>4236398258</v>
      </c>
      <c r="M15" s="1" t="s">
        <v>27</v>
      </c>
      <c r="N15" s="8">
        <v>0</v>
      </c>
      <c r="O15" s="8">
        <v>0</v>
      </c>
      <c r="P15" s="9" t="e">
        <v>#DIV/0!</v>
      </c>
      <c r="Q15" s="1">
        <v>0</v>
      </c>
      <c r="R15" s="1">
        <v>0</v>
      </c>
      <c r="S15" s="1">
        <v>0</v>
      </c>
      <c r="T15" s="87"/>
    </row>
    <row r="16" spans="1:19" ht="15" hidden="1">
      <c r="A16" s="1"/>
      <c r="B16" s="28"/>
      <c r="C16" s="2"/>
      <c r="D16" s="1"/>
      <c r="E16" s="1"/>
      <c r="F16" s="34"/>
      <c r="G16" s="42"/>
      <c r="H16" s="43"/>
      <c r="I16" s="43"/>
      <c r="J16" s="43"/>
      <c r="M16" s="1" t="s">
        <v>51</v>
      </c>
      <c r="N16" s="8">
        <v>32076953</v>
      </c>
      <c r="O16" s="8">
        <v>24777660</v>
      </c>
      <c r="P16" s="9">
        <v>77.24443153936721</v>
      </c>
      <c r="Q16" s="1">
        <v>0</v>
      </c>
      <c r="R16" s="1">
        <v>24777660</v>
      </c>
      <c r="S16" s="1">
        <v>0</v>
      </c>
    </row>
    <row r="17" spans="1:19" ht="15">
      <c r="A17" s="1"/>
      <c r="B17" s="28"/>
      <c r="C17" s="2"/>
      <c r="D17" s="1"/>
      <c r="E17" s="1"/>
      <c r="F17" s="34"/>
      <c r="G17" s="42"/>
      <c r="H17" s="36"/>
      <c r="I17" s="43"/>
      <c r="J17" s="43"/>
      <c r="M17" s="1" t="s">
        <v>6</v>
      </c>
      <c r="N17" s="8"/>
      <c r="O17" s="8">
        <v>0</v>
      </c>
      <c r="P17" s="9" t="e">
        <v>#DIV/0!</v>
      </c>
      <c r="Q17" s="1"/>
      <c r="R17" s="1"/>
      <c r="S17" s="1"/>
    </row>
    <row r="18" spans="1:19" ht="15">
      <c r="A18" s="1" t="s">
        <v>9</v>
      </c>
      <c r="B18" s="135">
        <v>51</v>
      </c>
      <c r="C18" s="3" t="s">
        <v>88</v>
      </c>
      <c r="D18" s="34">
        <v>24</v>
      </c>
      <c r="E18" s="1" t="s">
        <v>67</v>
      </c>
      <c r="F18" s="34">
        <v>24</v>
      </c>
      <c r="G18" s="52">
        <f>+'[1]EJE 2'!$M$10</f>
        <v>1391017820.6172023</v>
      </c>
      <c r="H18" s="36">
        <f>+'año 2008'!G17+'año 2010'!G18+'año 2009'!G18+'año 2011'!G18</f>
        <v>2465389585</v>
      </c>
      <c r="I18" s="43">
        <f>J18/G18*100</f>
        <v>141.8883629488127</v>
      </c>
      <c r="J18" s="36">
        <f>+'año 2008'!I17+'año 2010'!I18+'año 2009'!I18+'año 2011'!J18</f>
        <v>1973692414</v>
      </c>
      <c r="M18" s="1" t="s">
        <v>30</v>
      </c>
      <c r="N18" s="8">
        <v>127710766</v>
      </c>
      <c r="O18" s="8">
        <v>100058433</v>
      </c>
      <c r="P18" s="9">
        <v>78.34768840083537</v>
      </c>
      <c r="Q18" s="1">
        <v>63366057</v>
      </c>
      <c r="R18" s="1">
        <v>36692376</v>
      </c>
      <c r="S18" s="1">
        <v>0</v>
      </c>
    </row>
    <row r="19" spans="1:19" ht="15">
      <c r="A19" s="1"/>
      <c r="B19" s="136"/>
      <c r="C19" s="3" t="s">
        <v>89</v>
      </c>
      <c r="D19" s="34">
        <v>4</v>
      </c>
      <c r="E19" s="1" t="s">
        <v>68</v>
      </c>
      <c r="F19" s="34">
        <v>4</v>
      </c>
      <c r="G19" s="52">
        <f>+'[1]PLAN PLURIANUAL TORO 2008-2011'!$I$3</f>
        <v>232135634.10177284</v>
      </c>
      <c r="H19" s="36">
        <f>+'año 2008'!G18+'año 2010'!G19+'año 2009'!G19+'año 2011'!G19</f>
        <v>317574135</v>
      </c>
      <c r="I19" s="52">
        <f aca="true" t="shared" si="0" ref="I19:I26">J19/G19*100</f>
        <v>112.97169261183981</v>
      </c>
      <c r="J19" s="36">
        <f>+'año 2008'!I18+'año 2010'!I19+'año 2009'!I19+'año 2011'!J19</f>
        <v>262247555</v>
      </c>
      <c r="M19" s="1" t="s">
        <v>31</v>
      </c>
      <c r="N19" s="8">
        <v>848697</v>
      </c>
      <c r="O19" s="8">
        <v>0</v>
      </c>
      <c r="P19" s="9">
        <v>0</v>
      </c>
      <c r="Q19" s="1">
        <v>0</v>
      </c>
      <c r="R19" s="1">
        <v>0</v>
      </c>
      <c r="S19" s="1">
        <v>0</v>
      </c>
    </row>
    <row r="20" spans="1:19" ht="15">
      <c r="A20" s="1"/>
      <c r="B20" s="136"/>
      <c r="C20" s="3" t="s">
        <v>90</v>
      </c>
      <c r="D20" s="34">
        <v>30</v>
      </c>
      <c r="E20" s="1" t="s">
        <v>69</v>
      </c>
      <c r="F20" s="34">
        <v>30</v>
      </c>
      <c r="G20" s="52">
        <f>+'[1]EJE 2'!$M$377</f>
        <v>9458606767.087246</v>
      </c>
      <c r="H20" s="36">
        <f>+'año 2008'!G19+'año 2010'!G20+'año 2009'!G20+'año 2011'!G20</f>
        <v>12606581254</v>
      </c>
      <c r="I20" s="52">
        <f t="shared" si="0"/>
        <v>110.64142803161181</v>
      </c>
      <c r="J20" s="36">
        <f>+'año 2008'!I19+'año 2010'!I20+'año 2009'!I20+'año 2011'!J20</f>
        <v>10465137599</v>
      </c>
      <c r="M20" s="1" t="s">
        <v>44</v>
      </c>
      <c r="N20" s="8">
        <v>20800448</v>
      </c>
      <c r="O20" s="8">
        <v>15828170</v>
      </c>
      <c r="P20" s="9">
        <v>76.09533217746079</v>
      </c>
      <c r="Q20" s="1">
        <v>13513412</v>
      </c>
      <c r="R20" s="1">
        <v>2314758</v>
      </c>
      <c r="S20" s="1">
        <v>0</v>
      </c>
    </row>
    <row r="21" spans="1:19" ht="15">
      <c r="A21" s="1"/>
      <c r="B21" s="136"/>
      <c r="C21" s="1" t="s">
        <v>91</v>
      </c>
      <c r="D21" s="34">
        <v>7</v>
      </c>
      <c r="E21" s="1" t="s">
        <v>70</v>
      </c>
      <c r="F21" s="34">
        <v>7</v>
      </c>
      <c r="G21" s="52">
        <f>+'[1]EJE 2'!$M$333</f>
        <v>508373815.5535604</v>
      </c>
      <c r="H21" s="36">
        <f>+'año 2008'!G20+'año 2010'!G21+'año 2009'!G21+'año 2011'!G21</f>
        <v>456721259</v>
      </c>
      <c r="I21" s="52">
        <f t="shared" si="0"/>
        <v>44.21769161246599</v>
      </c>
      <c r="J21" s="36">
        <f>+'año 2008'!I20+'año 2010'!I21+'año 2009'!I21+'año 2011'!J21</f>
        <v>224791166</v>
      </c>
      <c r="M21" s="1" t="s">
        <v>33</v>
      </c>
      <c r="N21" s="8">
        <v>165707564</v>
      </c>
      <c r="O21" s="8">
        <v>97951665</v>
      </c>
      <c r="P21" s="9">
        <v>59.111161033059425</v>
      </c>
      <c r="Q21" s="1">
        <v>18361800</v>
      </c>
      <c r="R21" s="1">
        <v>79589865</v>
      </c>
      <c r="S21" s="1">
        <v>0</v>
      </c>
    </row>
    <row r="22" spans="1:19" ht="15">
      <c r="A22" s="1"/>
      <c r="B22" s="136"/>
      <c r="C22" s="3" t="s">
        <v>92</v>
      </c>
      <c r="D22" s="34">
        <v>10</v>
      </c>
      <c r="E22" s="1" t="s">
        <v>71</v>
      </c>
      <c r="F22" s="34">
        <v>10</v>
      </c>
      <c r="G22" s="52">
        <f>+'[1]EJE 2'!$M$425</f>
        <v>262357300.93591636</v>
      </c>
      <c r="H22" s="36">
        <f>+'año 2008'!G21+'año 2010'!G22+'año 2009'!G22+'año 2011'!G22</f>
        <v>473244614</v>
      </c>
      <c r="I22" s="52">
        <f t="shared" si="0"/>
        <v>153.35815453379644</v>
      </c>
      <c r="J22" s="36">
        <f>+'año 2008'!I21+'año 2010'!I22+'año 2009'!I22+'año 2011'!J22</f>
        <v>402346315</v>
      </c>
      <c r="M22" s="1" t="s">
        <v>52</v>
      </c>
      <c r="N22" s="8">
        <v>54000000</v>
      </c>
      <c r="O22" s="8">
        <v>39715206</v>
      </c>
      <c r="P22" s="9">
        <v>73.54667777777777</v>
      </c>
      <c r="Q22" s="1">
        <v>0</v>
      </c>
      <c r="R22" s="1">
        <v>39715206</v>
      </c>
      <c r="S22" s="1">
        <v>0</v>
      </c>
    </row>
    <row r="23" spans="1:19" ht="15">
      <c r="A23" s="1"/>
      <c r="B23" s="136"/>
      <c r="C23" s="1" t="s">
        <v>93</v>
      </c>
      <c r="D23" s="34">
        <v>10</v>
      </c>
      <c r="E23" s="1" t="s">
        <v>72</v>
      </c>
      <c r="F23" s="34">
        <v>10</v>
      </c>
      <c r="G23" s="52">
        <f>+'[1]EJE 2'!$M$456</f>
        <v>271118091.551224</v>
      </c>
      <c r="H23" s="36">
        <f>+'año 2008'!G22+'año 2010'!G23+'año 2009'!G23+'año 2011'!G23</f>
        <v>504085324</v>
      </c>
      <c r="I23" s="52">
        <f t="shared" si="0"/>
        <v>177.07560427751642</v>
      </c>
      <c r="J23" s="36">
        <f>+'año 2008'!I22+'año 2010'!I23+'año 2009'!I23+'año 2011'!J23</f>
        <v>480083998.92</v>
      </c>
      <c r="M23" s="1" t="s">
        <v>53</v>
      </c>
      <c r="N23" s="8">
        <v>468468094</v>
      </c>
      <c r="O23" s="8">
        <v>354344830</v>
      </c>
      <c r="P23" s="9">
        <v>75.63905301947842</v>
      </c>
      <c r="Q23" s="1">
        <v>0</v>
      </c>
      <c r="R23" s="1">
        <v>354344830</v>
      </c>
      <c r="S23" s="1">
        <v>0</v>
      </c>
    </row>
    <row r="24" spans="1:19" ht="15">
      <c r="A24" s="1"/>
      <c r="B24" s="136"/>
      <c r="C24" s="3" t="s">
        <v>94</v>
      </c>
      <c r="D24" s="34">
        <v>15</v>
      </c>
      <c r="E24" s="1" t="s">
        <v>74</v>
      </c>
      <c r="F24" s="34">
        <v>15</v>
      </c>
      <c r="G24" s="52">
        <f>+'[1]EJE 2'!$M$226</f>
        <v>387002573.14009416</v>
      </c>
      <c r="H24" s="36">
        <f>+'año 2008'!G23+'año 2010'!G24+'año 2009'!G24+'año 2011'!G24</f>
        <v>810214397</v>
      </c>
      <c r="I24" s="52">
        <f t="shared" si="0"/>
        <v>151.34717302976986</v>
      </c>
      <c r="J24" s="36">
        <f>+'año 2008'!I23+'año 2010'!I24+'año 2009'!I24+'año 2011'!J24</f>
        <v>585717454</v>
      </c>
      <c r="M24" s="1" t="s">
        <v>36</v>
      </c>
      <c r="N24" s="8">
        <v>141486440</v>
      </c>
      <c r="O24" s="8">
        <v>130141339</v>
      </c>
      <c r="P24" s="9">
        <v>91.98149236068134</v>
      </c>
      <c r="Q24" s="1">
        <v>5342071</v>
      </c>
      <c r="R24" s="1">
        <v>63146960</v>
      </c>
      <c r="S24" s="1">
        <v>61652308</v>
      </c>
    </row>
    <row r="25" spans="1:19" ht="15">
      <c r="A25" s="1"/>
      <c r="B25" s="137"/>
      <c r="C25" s="3" t="s">
        <v>110</v>
      </c>
      <c r="D25" s="34"/>
      <c r="E25" s="1" t="s">
        <v>73</v>
      </c>
      <c r="F25" s="34"/>
      <c r="G25" s="52">
        <f>+'[1]EJE 2'!$M$266</f>
        <v>63243941.124</v>
      </c>
      <c r="H25" s="36">
        <f>+'año 2008'!G24+'año 2010'!G25+'año 2009'!G25+'año 2011'!G25</f>
        <v>45300448</v>
      </c>
      <c r="I25" s="52">
        <f t="shared" si="0"/>
        <v>52.6505296921856</v>
      </c>
      <c r="J25" s="36">
        <f>+'año 2008'!I24+'año 2010'!I25+'año 2009'!I25+'año 2011'!J25</f>
        <v>33298270</v>
      </c>
      <c r="M25" s="1" t="s">
        <v>10</v>
      </c>
      <c r="N25" s="8">
        <v>89371213</v>
      </c>
      <c r="O25" s="8">
        <v>82119274</v>
      </c>
      <c r="P25" s="9">
        <v>91.88559855397733</v>
      </c>
      <c r="Q25" s="1">
        <v>16743950</v>
      </c>
      <c r="R25" s="1">
        <v>65375324</v>
      </c>
      <c r="S25" s="1">
        <v>0</v>
      </c>
    </row>
    <row r="26" spans="1:19" ht="15">
      <c r="A26" s="1"/>
      <c r="B26" s="28"/>
      <c r="C26" s="38" t="s">
        <v>115</v>
      </c>
      <c r="D26" s="1"/>
      <c r="E26" s="1"/>
      <c r="F26" s="34"/>
      <c r="G26" s="54">
        <f>SUM(G18:G25)</f>
        <v>12573855944.111017</v>
      </c>
      <c r="H26" s="44">
        <f>SUM(H18:H25)</f>
        <v>17679111016</v>
      </c>
      <c r="I26" s="56">
        <f t="shared" si="0"/>
        <v>114.74057628819148</v>
      </c>
      <c r="J26" s="44">
        <f>SUM(J18:J25)</f>
        <v>14427314771.92</v>
      </c>
      <c r="M26" s="1" t="s">
        <v>37</v>
      </c>
      <c r="N26" s="8">
        <v>100515085</v>
      </c>
      <c r="O26" s="8">
        <v>51100871</v>
      </c>
      <c r="P26" s="9">
        <v>50.83900640386465</v>
      </c>
      <c r="Q26" s="1">
        <v>22500000</v>
      </c>
      <c r="R26" s="1">
        <v>28600870.5</v>
      </c>
      <c r="S26" s="1">
        <v>0</v>
      </c>
    </row>
    <row r="27" spans="1:19" ht="15">
      <c r="A27" s="1"/>
      <c r="B27" s="28"/>
      <c r="C27" s="3"/>
      <c r="D27" s="1"/>
      <c r="E27" s="1"/>
      <c r="F27" s="34"/>
      <c r="G27" s="42"/>
      <c r="H27" s="45"/>
      <c r="I27" s="43"/>
      <c r="J27" s="45"/>
      <c r="M27" s="1" t="s">
        <v>54</v>
      </c>
      <c r="N27" s="8">
        <v>52050774</v>
      </c>
      <c r="O27" s="8">
        <v>44968012</v>
      </c>
      <c r="P27" s="9">
        <v>86.39259043487039</v>
      </c>
      <c r="Q27" s="1">
        <v>22092022</v>
      </c>
      <c r="R27" s="1">
        <v>0</v>
      </c>
      <c r="S27" s="1">
        <v>22875990</v>
      </c>
    </row>
    <row r="28" spans="1:19" ht="28.5" customHeight="1">
      <c r="A28" s="4" t="s">
        <v>15</v>
      </c>
      <c r="B28" s="135">
        <v>10</v>
      </c>
      <c r="C28" s="39" t="s">
        <v>86</v>
      </c>
      <c r="D28" s="1">
        <v>30</v>
      </c>
      <c r="E28" s="29" t="s">
        <v>75</v>
      </c>
      <c r="F28" s="34">
        <v>30</v>
      </c>
      <c r="G28" s="52">
        <f>+'[1]EJE 3'!$M$140</f>
        <v>174466048.8416511</v>
      </c>
      <c r="H28" s="47">
        <f>+'año 2008'!G27+'año 2010'!G28+'año 2009'!G28+'año 2011'!G28</f>
        <v>146231577</v>
      </c>
      <c r="I28" s="43">
        <f>J28/G28*100</f>
        <v>42.455486033977756</v>
      </c>
      <c r="J28" s="36">
        <f>+'año 2008'!I27+'año 2010'!I28+'año 2009'!I28+'año 2011'!J28</f>
        <v>74070409</v>
      </c>
      <c r="M28" s="1" t="s">
        <v>11</v>
      </c>
      <c r="N28" s="8">
        <v>3752917667</v>
      </c>
      <c r="O28" s="8">
        <v>3002972956</v>
      </c>
      <c r="P28" s="9">
        <v>80.0170220201103</v>
      </c>
      <c r="Q28" s="1">
        <v>0</v>
      </c>
      <c r="R28" s="1">
        <v>1608628569</v>
      </c>
      <c r="S28" s="1">
        <v>1394344387</v>
      </c>
    </row>
    <row r="29" spans="1:19" ht="15">
      <c r="A29" s="1"/>
      <c r="B29" s="137"/>
      <c r="C29" s="3" t="s">
        <v>87</v>
      </c>
      <c r="D29" s="1">
        <v>70</v>
      </c>
      <c r="E29" s="1" t="s">
        <v>76</v>
      </c>
      <c r="F29" s="34">
        <v>70</v>
      </c>
      <c r="G29" s="52">
        <f>+'[1]EJE 3'!$M$253</f>
        <v>277317376.0631274</v>
      </c>
      <c r="H29" s="33">
        <f>+'año 2008'!G28+'año 2010'!G29+'año 2009'!G29+'año 2011'!G29</f>
        <v>191518085</v>
      </c>
      <c r="I29" s="52">
        <f>J29/G29*100</f>
        <v>53.41814281636593</v>
      </c>
      <c r="J29" s="36">
        <f>+'año 2008'!I28+'año 2010'!I29+'año 2009'!I29+'año 2011'!J29</f>
        <v>148137792</v>
      </c>
      <c r="M29" s="1" t="s">
        <v>55</v>
      </c>
      <c r="N29" s="8">
        <v>184696588</v>
      </c>
      <c r="O29" s="8">
        <v>150273337</v>
      </c>
      <c r="P29" s="9">
        <v>81.36227021151035</v>
      </c>
      <c r="Q29" s="1">
        <v>0</v>
      </c>
      <c r="R29" s="1">
        <v>150273337</v>
      </c>
      <c r="S29" s="1">
        <v>0</v>
      </c>
    </row>
    <row r="30" spans="1:19" ht="15">
      <c r="A30" s="1"/>
      <c r="B30" s="28"/>
      <c r="C30" s="38" t="s">
        <v>115</v>
      </c>
      <c r="D30" s="1"/>
      <c r="E30" s="1"/>
      <c r="F30" s="34"/>
      <c r="G30" s="54">
        <f>SUM(G28:G29)</f>
        <v>451783424.9047785</v>
      </c>
      <c r="H30" s="48">
        <f>SUM(H28:H29)</f>
        <v>337749662</v>
      </c>
      <c r="I30" s="56">
        <f>J30/G30*100+1</f>
        <v>50.184673175390266</v>
      </c>
      <c r="J30" s="51">
        <f>SUM(J28:J29)</f>
        <v>222208201</v>
      </c>
      <c r="M30" s="1" t="s">
        <v>7</v>
      </c>
      <c r="N30" s="8">
        <v>2547339</v>
      </c>
      <c r="O30" s="8">
        <v>0</v>
      </c>
      <c r="P30" s="9">
        <v>0</v>
      </c>
      <c r="Q30" s="1">
        <v>0</v>
      </c>
      <c r="R30" s="1">
        <v>0</v>
      </c>
      <c r="S30" s="1">
        <v>0</v>
      </c>
    </row>
    <row r="31" spans="1:19" ht="15">
      <c r="A31" s="1"/>
      <c r="B31" s="28"/>
      <c r="C31" s="3"/>
      <c r="D31" s="1"/>
      <c r="E31" s="1"/>
      <c r="F31" s="34"/>
      <c r="G31" s="42"/>
      <c r="H31" s="42"/>
      <c r="I31" s="42"/>
      <c r="J31" s="36">
        <f>+'año 2008'!I30+'año 2010'!I31+'año 2009'!I31+'año 2011'!J31</f>
        <v>0</v>
      </c>
      <c r="M31" s="1" t="s">
        <v>25</v>
      </c>
      <c r="N31" s="8">
        <v>18750169</v>
      </c>
      <c r="O31" s="8">
        <v>18620524</v>
      </c>
      <c r="P31" s="9">
        <v>99.30856623212303</v>
      </c>
      <c r="Q31" s="1">
        <v>0</v>
      </c>
      <c r="R31" s="1">
        <v>18620524</v>
      </c>
      <c r="S31" s="1">
        <v>0</v>
      </c>
    </row>
    <row r="32" spans="1:19" ht="30">
      <c r="A32" s="4" t="s">
        <v>14</v>
      </c>
      <c r="B32" s="135">
        <v>15</v>
      </c>
      <c r="C32" s="3" t="s">
        <v>81</v>
      </c>
      <c r="D32" s="1">
        <v>10</v>
      </c>
      <c r="E32" s="1" t="s">
        <v>79</v>
      </c>
      <c r="F32" s="34">
        <v>10</v>
      </c>
      <c r="G32" s="52">
        <f>+'[1]EJE 4'!$M$306+'[1]EJE 4'!$M$197+'[1]EJE 4'!$M$362</f>
        <v>395100994.6942313</v>
      </c>
      <c r="H32" s="36">
        <f>+'año 2008'!G31+'año 2010'!G32+'año 2009'!G32+'año 2011'!G32</f>
        <v>682145422</v>
      </c>
      <c r="I32" s="43">
        <f>J32/G32*100</f>
        <v>149.48669654883648</v>
      </c>
      <c r="J32" s="36">
        <f>+'año 2008'!I31+'año 2010'!I32+'año 2009'!I32+'año 2011'!J32</f>
        <v>590623425</v>
      </c>
      <c r="M32" s="24" t="s">
        <v>40</v>
      </c>
      <c r="N32" s="16">
        <v>7041553110</v>
      </c>
      <c r="O32" s="16">
        <f>SUM(O9:O31)</f>
        <v>5354226965</v>
      </c>
      <c r="P32" s="25">
        <v>76.03758546869783</v>
      </c>
      <c r="Q32" s="24">
        <v>232402402</v>
      </c>
      <c r="R32" s="24">
        <v>3308925930</v>
      </c>
      <c r="S32" s="24">
        <v>1812898632.3400002</v>
      </c>
    </row>
    <row r="33" spans="1:10" ht="15">
      <c r="A33" s="1"/>
      <c r="B33" s="136"/>
      <c r="C33" s="3" t="s">
        <v>82</v>
      </c>
      <c r="D33" s="1">
        <v>2</v>
      </c>
      <c r="E33" s="1" t="s">
        <v>111</v>
      </c>
      <c r="F33" s="34">
        <v>2</v>
      </c>
      <c r="G33" s="52">
        <f>+'[1]EJE 4'!$M$201</f>
        <v>126487882.248</v>
      </c>
      <c r="H33" s="36">
        <f>+'año 2008'!G32+'año 2010'!G33+'año 2009'!G33+'año 2011'!G33</f>
        <v>132345753</v>
      </c>
      <c r="I33" s="52">
        <f aca="true" t="shared" si="1" ref="I33:I38">J33/G33*100</f>
        <v>79.87583332441912</v>
      </c>
      <c r="J33" s="36">
        <f>+'año 2008'!I32+'año 2010'!I33+'año 2009'!I33+'año 2011'!J33</f>
        <v>101033250</v>
      </c>
    </row>
    <row r="34" spans="1:10" ht="15">
      <c r="A34" s="1"/>
      <c r="B34" s="136"/>
      <c r="C34" s="3" t="s">
        <v>83</v>
      </c>
      <c r="D34" s="1">
        <v>10</v>
      </c>
      <c r="E34" s="1" t="s">
        <v>112</v>
      </c>
      <c r="F34" s="34">
        <v>10</v>
      </c>
      <c r="G34" s="52">
        <f>+'[1]EJE 4'!$M$169</f>
        <v>107296617.35520001</v>
      </c>
      <c r="H34" s="36">
        <f>+'año 2008'!G33+'año 2010'!G34+'año 2009'!G34+'año 2011'!G34</f>
        <v>203116549</v>
      </c>
      <c r="I34" s="52">
        <f t="shared" si="1"/>
        <v>56.459543174092516</v>
      </c>
      <c r="J34" s="36">
        <f>+'año 2008'!I33+'año 2010'!I34+'año 2009'!I34+'año 2011'!J34</f>
        <v>60579180</v>
      </c>
    </row>
    <row r="35" spans="1:10" ht="15">
      <c r="A35" s="21"/>
      <c r="B35" s="136"/>
      <c r="C35" s="3" t="s">
        <v>84</v>
      </c>
      <c r="D35" s="1">
        <v>40</v>
      </c>
      <c r="E35" s="1" t="s">
        <v>77</v>
      </c>
      <c r="F35" s="34">
        <v>40</v>
      </c>
      <c r="G35" s="52">
        <f>+'[1]EJE 4'!$M$277</f>
        <v>422238459.5173596</v>
      </c>
      <c r="H35" s="36">
        <f>+'año 2008'!G34+'año 2010'!G35+'año 2009'!G35+'año 2011'!G35</f>
        <v>610807366</v>
      </c>
      <c r="I35" s="52">
        <f t="shared" si="1"/>
        <v>119.20161502467472</v>
      </c>
      <c r="J35" s="36">
        <f>+'año 2008'!I34+'año 2010'!I35+'año 2009'!I35+'año 2011'!J35</f>
        <v>503315063</v>
      </c>
    </row>
    <row r="36" spans="1:10" ht="15">
      <c r="A36" s="21"/>
      <c r="B36" s="137"/>
      <c r="C36" s="1" t="s">
        <v>85</v>
      </c>
      <c r="D36" s="1">
        <v>2</v>
      </c>
      <c r="E36" s="1" t="s">
        <v>78</v>
      </c>
      <c r="F36" s="34">
        <v>2</v>
      </c>
      <c r="G36" s="52">
        <f>+'[1]EJE 4'!$M$418</f>
        <v>315957971.66007113</v>
      </c>
      <c r="H36" s="36">
        <f>+'año 2008'!G35+'año 2010'!G36+'año 2009'!G36+'año 2011'!G36</f>
        <v>595769915</v>
      </c>
      <c r="I36" s="52">
        <f t="shared" si="1"/>
        <v>170.0305392446255</v>
      </c>
      <c r="J36" s="36">
        <f>+'año 2008'!I35+'año 2010'!I36+'año 2009'!I36+'año 2011'!J36</f>
        <v>537225043</v>
      </c>
    </row>
    <row r="37" spans="1:10" ht="15">
      <c r="A37" s="1"/>
      <c r="B37" s="28"/>
      <c r="C37" s="38" t="s">
        <v>115</v>
      </c>
      <c r="D37" s="1"/>
      <c r="E37" s="1"/>
      <c r="F37" s="34"/>
      <c r="G37" s="56">
        <f>SUM(G32:G36)</f>
        <v>1367081925.474862</v>
      </c>
      <c r="H37" s="49">
        <f>SUM(H32:H36)</f>
        <v>2224185005</v>
      </c>
      <c r="I37" s="56">
        <f t="shared" si="1"/>
        <v>131.13888257847248</v>
      </c>
      <c r="J37" s="49">
        <f>SUM(J32:J36)</f>
        <v>1792775961</v>
      </c>
    </row>
    <row r="38" spans="1:10" ht="15">
      <c r="A38" s="1"/>
      <c r="B38" s="1"/>
      <c r="C38" s="38" t="s">
        <v>40</v>
      </c>
      <c r="D38" s="1"/>
      <c r="E38" s="1"/>
      <c r="F38" s="34"/>
      <c r="G38" s="54">
        <f>+G37+G30+G26+G15</f>
        <v>18316978352.11169</v>
      </c>
      <c r="H38" s="49">
        <f>H15+H26+H30+H37</f>
        <v>26229170907</v>
      </c>
      <c r="I38" s="56">
        <f t="shared" si="1"/>
        <v>112.89360501720545</v>
      </c>
      <c r="J38" s="49">
        <f>J15+J26+J30+J37</f>
        <v>20678697191.92</v>
      </c>
    </row>
    <row r="39" spans="1:10" ht="15">
      <c r="A39" s="1"/>
      <c r="B39" s="1"/>
      <c r="C39" s="1"/>
      <c r="D39" s="1"/>
      <c r="E39" s="1"/>
      <c r="F39" s="34"/>
      <c r="G39" s="42"/>
      <c r="H39" s="42"/>
      <c r="I39" s="42"/>
      <c r="J39" s="42"/>
    </row>
    <row r="41" ht="15">
      <c r="A41" s="125" t="str">
        <f>'año 2009'!A42</f>
        <v>MARIA JOSEFINA LOPEZ RAMIREZ</v>
      </c>
    </row>
    <row r="42" ht="15">
      <c r="A42" s="125" t="str">
        <f>'año 2009'!A43</f>
        <v>JEFE ASESORA  OFICINA DE PLANEACION (e)</v>
      </c>
    </row>
    <row r="43" spans="1:8" ht="15">
      <c r="A43" t="str">
        <f>'año 2009'!A44</f>
        <v>Fuente</v>
      </c>
      <c r="H43" s="32"/>
    </row>
    <row r="44" ht="15">
      <c r="A44" t="s">
        <v>108</v>
      </c>
    </row>
    <row r="45" spans="6:10" ht="15" hidden="1">
      <c r="F45">
        <v>17</v>
      </c>
      <c r="H45" s="26">
        <f>+H15/H49*100</f>
        <v>85.03983610513448</v>
      </c>
      <c r="J45" s="26">
        <f>+J15/J49*100</f>
        <v>79.12250051581442</v>
      </c>
    </row>
    <row r="46" spans="6:10" ht="15" hidden="1">
      <c r="F46">
        <v>28</v>
      </c>
      <c r="H46" s="26">
        <f>+H26/H49*100</f>
        <v>251.06834727828956</v>
      </c>
      <c r="J46" s="26">
        <f>+J26/J49*100</f>
        <v>269.456540901792</v>
      </c>
    </row>
    <row r="47" spans="6:10" ht="15" hidden="1">
      <c r="F47">
        <v>32</v>
      </c>
      <c r="H47" s="26">
        <f>+H30/H49*100</f>
        <v>4.79652225473309</v>
      </c>
      <c r="J47" s="26">
        <f>+J30/J49*100</f>
        <v>4.1501453422230865</v>
      </c>
    </row>
    <row r="48" spans="6:10" ht="15" hidden="1">
      <c r="F48">
        <v>38</v>
      </c>
      <c r="H48" s="26">
        <f>+H37/H49*100</f>
        <v>31.5865686199447</v>
      </c>
      <c r="J48" s="26">
        <f>+J37/J49*100</f>
        <v>33.483376269238896</v>
      </c>
    </row>
    <row r="49" spans="8:10" ht="15" hidden="1">
      <c r="H49" s="22">
        <v>7041553110</v>
      </c>
      <c r="J49" s="22">
        <v>5354226965</v>
      </c>
    </row>
    <row r="50" ht="15" hidden="1"/>
    <row r="51" ht="15">
      <c r="A51" t="s">
        <v>127</v>
      </c>
    </row>
    <row r="52" ht="15">
      <c r="A52" t="s">
        <v>136</v>
      </c>
    </row>
  </sheetData>
  <sheetProtection/>
  <mergeCells count="7">
    <mergeCell ref="B32:B36"/>
    <mergeCell ref="A1:J1"/>
    <mergeCell ref="A2:J2"/>
    <mergeCell ref="A3:J3"/>
    <mergeCell ref="B8:B14"/>
    <mergeCell ref="B18:B25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zoomScalePageLayoutView="0" workbookViewId="0" topLeftCell="A1">
      <selection activeCell="B8" sqref="B8:B14"/>
    </sheetView>
  </sheetViews>
  <sheetFormatPr defaultColWidth="11.421875" defaultRowHeight="15"/>
  <cols>
    <col min="1" max="1" width="40.8515625" style="0" customWidth="1"/>
    <col min="3" max="3" width="40.57421875" style="0" customWidth="1"/>
    <col min="4" max="4" width="8.140625" style="0" bestFit="1" customWidth="1"/>
    <col min="5" max="5" width="30.140625" style="0" customWidth="1"/>
    <col min="6" max="6" width="11.00390625" style="0" customWidth="1"/>
    <col min="7" max="7" width="21.28125" style="0" customWidth="1"/>
    <col min="8" max="8" width="19.00390625" style="0" hidden="1" customWidth="1"/>
    <col min="9" max="9" width="9.28125" style="0" customWidth="1"/>
    <col min="10" max="10" width="20.7109375" style="0" customWidth="1"/>
    <col min="11" max="12" width="0" style="0" hidden="1" customWidth="1"/>
    <col min="13" max="13" width="47.28125" style="0" hidden="1" customWidth="1"/>
    <col min="14" max="14" width="21.57421875" style="0" hidden="1" customWidth="1"/>
    <col min="15" max="15" width="18.57421875" style="0" hidden="1" customWidth="1"/>
    <col min="16" max="16" width="14.28125" style="0" hidden="1" customWidth="1"/>
    <col min="17" max="17" width="21.7109375" style="0" hidden="1" customWidth="1"/>
    <col min="18" max="19" width="14.28125" style="0" hidden="1" customWidth="1"/>
  </cols>
  <sheetData>
    <row r="1" spans="1:10" ht="15">
      <c r="A1" s="138" t="s">
        <v>103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">
      <c r="A2" s="138" t="s">
        <v>104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">
      <c r="A3" s="138" t="s">
        <v>109</v>
      </c>
      <c r="B3" s="138"/>
      <c r="C3" s="138"/>
      <c r="D3" s="138"/>
      <c r="E3" s="138"/>
      <c r="F3" s="138"/>
      <c r="G3" s="138"/>
      <c r="H3" s="138"/>
      <c r="I3" s="138"/>
      <c r="J3" s="138"/>
    </row>
    <row r="5" spans="1:10" s="67" customFormat="1" ht="15">
      <c r="A5" s="66" t="s">
        <v>0</v>
      </c>
      <c r="B5" s="66" t="s">
        <v>1</v>
      </c>
      <c r="C5" s="66" t="s">
        <v>2</v>
      </c>
      <c r="D5" s="66" t="s">
        <v>1</v>
      </c>
      <c r="E5" s="66" t="s">
        <v>41</v>
      </c>
      <c r="F5" s="66" t="s">
        <v>42</v>
      </c>
      <c r="G5" s="66" t="s">
        <v>4</v>
      </c>
      <c r="H5" s="66"/>
      <c r="I5" s="66" t="s">
        <v>58</v>
      </c>
      <c r="J5" s="66" t="s">
        <v>5</v>
      </c>
    </row>
    <row r="6" s="68" customFormat="1" ht="15" hidden="1"/>
    <row r="7" spans="1:19" s="68" customFormat="1" ht="15" hidden="1">
      <c r="A7" s="69"/>
      <c r="B7" s="69"/>
      <c r="C7" s="69"/>
      <c r="D7" s="69"/>
      <c r="E7" s="69"/>
      <c r="F7" s="69"/>
      <c r="M7" s="69" t="s">
        <v>2</v>
      </c>
      <c r="N7" s="69"/>
      <c r="O7" s="70" t="s">
        <v>46</v>
      </c>
      <c r="P7" s="69"/>
      <c r="Q7" s="69"/>
      <c r="R7" s="69"/>
      <c r="S7" s="69"/>
    </row>
    <row r="8" spans="1:19" s="68" customFormat="1" ht="25.5" customHeight="1">
      <c r="A8" s="69" t="s">
        <v>3</v>
      </c>
      <c r="B8" s="145">
        <v>24</v>
      </c>
      <c r="C8" s="69" t="s">
        <v>60</v>
      </c>
      <c r="D8" s="71">
        <v>40</v>
      </c>
      <c r="E8" s="72" t="s">
        <v>62</v>
      </c>
      <c r="F8" s="27">
        <f>G8/$G$15*17.48</f>
        <v>13.151200879834455</v>
      </c>
      <c r="G8" s="64">
        <v>1200304342</v>
      </c>
      <c r="H8" s="64"/>
      <c r="I8" s="73">
        <f>J8/G8*100</f>
        <v>51.86118213675511</v>
      </c>
      <c r="J8" s="64">
        <v>622492021</v>
      </c>
      <c r="M8" s="69"/>
      <c r="N8" s="69" t="s">
        <v>56</v>
      </c>
      <c r="O8" s="69" t="s">
        <v>5</v>
      </c>
      <c r="P8" s="69" t="s">
        <v>19</v>
      </c>
      <c r="Q8" s="69" t="s">
        <v>47</v>
      </c>
      <c r="R8" s="69" t="s">
        <v>48</v>
      </c>
      <c r="S8" s="69" t="s">
        <v>49</v>
      </c>
    </row>
    <row r="9" spans="1:19" s="68" customFormat="1" ht="30">
      <c r="A9" s="69"/>
      <c r="B9" s="146"/>
      <c r="C9" s="74" t="s">
        <v>97</v>
      </c>
      <c r="D9" s="71">
        <v>5</v>
      </c>
      <c r="E9" s="72" t="s">
        <v>59</v>
      </c>
      <c r="F9" s="27">
        <f aca="true" t="shared" si="0" ref="F9:F14">G9/$G$15*17.48</f>
        <v>0.5148485327593867</v>
      </c>
      <c r="G9" s="64">
        <v>46990000</v>
      </c>
      <c r="H9" s="64"/>
      <c r="I9" s="73">
        <f aca="true" t="shared" si="1" ref="I9:I15">J9/G9*100</f>
        <v>99.47280910832092</v>
      </c>
      <c r="J9" s="64">
        <v>46742273</v>
      </c>
      <c r="M9" s="69" t="s">
        <v>16</v>
      </c>
      <c r="N9" s="73">
        <v>88534792</v>
      </c>
      <c r="O9" s="73">
        <v>75398361</v>
      </c>
      <c r="P9" s="64">
        <v>85.16240824285214</v>
      </c>
      <c r="Q9" s="69">
        <v>5600000</v>
      </c>
      <c r="R9" s="69">
        <v>58845991</v>
      </c>
      <c r="S9" s="69">
        <v>10952370</v>
      </c>
    </row>
    <row r="10" spans="1:19" s="68" customFormat="1" ht="75">
      <c r="A10" s="69"/>
      <c r="B10" s="146"/>
      <c r="C10" s="75" t="s">
        <v>96</v>
      </c>
      <c r="D10" s="71">
        <v>9</v>
      </c>
      <c r="E10" s="72" t="s">
        <v>61</v>
      </c>
      <c r="F10" s="27">
        <f t="shared" si="0"/>
        <v>0</v>
      </c>
      <c r="G10" s="73">
        <v>0</v>
      </c>
      <c r="H10" s="73"/>
      <c r="I10" s="73">
        <v>0</v>
      </c>
      <c r="J10" s="73">
        <v>0</v>
      </c>
      <c r="K10" s="67" t="s">
        <v>43</v>
      </c>
      <c r="M10" s="69" t="s">
        <v>12</v>
      </c>
      <c r="N10" s="73">
        <v>619656142</v>
      </c>
      <c r="O10" s="73">
        <v>545807830</v>
      </c>
      <c r="P10" s="64">
        <v>88.08237235870084</v>
      </c>
      <c r="Q10" s="69">
        <v>3066100</v>
      </c>
      <c r="R10" s="69">
        <v>339668153</v>
      </c>
      <c r="S10" s="69">
        <v>203073577</v>
      </c>
    </row>
    <row r="11" spans="1:19" s="68" customFormat="1" ht="30">
      <c r="A11" s="69"/>
      <c r="B11" s="146"/>
      <c r="C11" s="69" t="s">
        <v>98</v>
      </c>
      <c r="D11" s="71">
        <v>4</v>
      </c>
      <c r="E11" s="72" t="s">
        <v>63</v>
      </c>
      <c r="F11" s="27">
        <f t="shared" si="0"/>
        <v>2.4746799090669347</v>
      </c>
      <c r="G11" s="64">
        <v>225862951</v>
      </c>
      <c r="H11" s="64"/>
      <c r="I11" s="73">
        <f t="shared" si="1"/>
        <v>108.5452824000338</v>
      </c>
      <c r="J11" s="64">
        <v>245163578</v>
      </c>
      <c r="M11" s="69" t="s">
        <v>50</v>
      </c>
      <c r="N11" s="73">
        <v>687091731</v>
      </c>
      <c r="O11" s="73">
        <v>199686446</v>
      </c>
      <c r="P11" s="64">
        <v>29.062559843264946</v>
      </c>
      <c r="Q11" s="69">
        <v>0</v>
      </c>
      <c r="R11" s="69">
        <v>199686446</v>
      </c>
      <c r="S11" s="69">
        <v>0</v>
      </c>
    </row>
    <row r="12" spans="1:19" s="68" customFormat="1" ht="45">
      <c r="A12" s="69"/>
      <c r="B12" s="146"/>
      <c r="C12" s="75" t="s">
        <v>99</v>
      </c>
      <c r="D12" s="85">
        <v>22</v>
      </c>
      <c r="E12" s="72" t="s">
        <v>64</v>
      </c>
      <c r="F12" s="27">
        <f t="shared" si="0"/>
        <v>1.0653567962582557</v>
      </c>
      <c r="G12" s="64">
        <v>97234648</v>
      </c>
      <c r="H12" s="64"/>
      <c r="I12" s="73">
        <f t="shared" si="1"/>
        <v>98.72096929892727</v>
      </c>
      <c r="J12" s="64">
        <v>95990987</v>
      </c>
      <c r="M12" s="69" t="s">
        <v>8</v>
      </c>
      <c r="N12" s="73">
        <v>87028054</v>
      </c>
      <c r="O12" s="73">
        <v>80231054</v>
      </c>
      <c r="P12" s="64">
        <v>92.18987477302434</v>
      </c>
      <c r="Q12" s="69">
        <v>0</v>
      </c>
      <c r="R12" s="69">
        <v>80231054</v>
      </c>
      <c r="S12" s="69">
        <v>0</v>
      </c>
    </row>
    <row r="13" spans="1:19" s="68" customFormat="1" ht="30">
      <c r="A13" s="69"/>
      <c r="B13" s="146"/>
      <c r="C13" s="75" t="s">
        <v>114</v>
      </c>
      <c r="D13" s="71">
        <v>8</v>
      </c>
      <c r="E13" s="72" t="s">
        <v>65</v>
      </c>
      <c r="F13" s="27">
        <f t="shared" si="0"/>
        <v>0.27391388208096756</v>
      </c>
      <c r="G13" s="64">
        <v>25000000</v>
      </c>
      <c r="H13" s="64"/>
      <c r="I13" s="73">
        <f t="shared" si="1"/>
        <v>78.17871600000001</v>
      </c>
      <c r="J13" s="64">
        <v>19544679</v>
      </c>
      <c r="M13" s="69" t="s">
        <v>13</v>
      </c>
      <c r="N13" s="73">
        <v>323438594</v>
      </c>
      <c r="O13" s="73">
        <v>316378997</v>
      </c>
      <c r="P13" s="64">
        <v>97.81733004936325</v>
      </c>
      <c r="Q13" s="69">
        <v>61816990</v>
      </c>
      <c r="R13" s="69">
        <v>134562007</v>
      </c>
      <c r="S13" s="69">
        <v>120000000</v>
      </c>
    </row>
    <row r="14" spans="1:19" s="68" customFormat="1" ht="30">
      <c r="A14" s="69"/>
      <c r="B14" s="147"/>
      <c r="C14" s="75" t="s">
        <v>113</v>
      </c>
      <c r="D14" s="71">
        <v>12</v>
      </c>
      <c r="E14" s="72" t="s">
        <v>66</v>
      </c>
      <c r="F14" s="27">
        <f t="shared" si="0"/>
        <v>0</v>
      </c>
      <c r="G14" s="73">
        <f>N17</f>
        <v>0</v>
      </c>
      <c r="H14" s="73"/>
      <c r="I14" s="73">
        <v>0</v>
      </c>
      <c r="J14" s="73">
        <v>0</v>
      </c>
      <c r="M14" s="69" t="s">
        <v>26</v>
      </c>
      <c r="N14" s="73">
        <v>23856000</v>
      </c>
      <c r="O14" s="73">
        <v>23852000</v>
      </c>
      <c r="P14" s="64">
        <v>99.9832327297116</v>
      </c>
      <c r="Q14" s="69">
        <v>0</v>
      </c>
      <c r="R14" s="69">
        <v>23852000</v>
      </c>
      <c r="S14" s="69">
        <v>0</v>
      </c>
    </row>
    <row r="15" spans="1:19" s="68" customFormat="1" ht="15">
      <c r="A15" s="69"/>
      <c r="B15" s="76"/>
      <c r="C15" s="75"/>
      <c r="D15" s="69"/>
      <c r="E15" s="69"/>
      <c r="F15" s="69"/>
      <c r="G15" s="77">
        <f>SUM(G8:G14)</f>
        <v>1595391941</v>
      </c>
      <c r="H15" s="77"/>
      <c r="I15" s="78">
        <f t="shared" si="1"/>
        <v>64.55677200891665</v>
      </c>
      <c r="J15" s="77">
        <f>SUM(J8:J14)</f>
        <v>1029933538</v>
      </c>
      <c r="M15" s="69" t="s">
        <v>27</v>
      </c>
      <c r="N15" s="73">
        <v>0</v>
      </c>
      <c r="O15" s="73">
        <v>0</v>
      </c>
      <c r="P15" s="64" t="e">
        <v>#DIV/0!</v>
      </c>
      <c r="Q15" s="69">
        <v>0</v>
      </c>
      <c r="R15" s="69">
        <v>0</v>
      </c>
      <c r="S15" s="69">
        <v>0</v>
      </c>
    </row>
    <row r="16" spans="1:19" s="68" customFormat="1" ht="15" hidden="1">
      <c r="A16" s="69"/>
      <c r="B16" s="76"/>
      <c r="C16" s="75"/>
      <c r="D16" s="69"/>
      <c r="E16" s="69"/>
      <c r="F16" s="69"/>
      <c r="G16" s="73"/>
      <c r="H16" s="73"/>
      <c r="I16" s="73"/>
      <c r="J16" s="73"/>
      <c r="M16" s="69" t="s">
        <v>51</v>
      </c>
      <c r="N16" s="73">
        <v>32076953</v>
      </c>
      <c r="O16" s="73">
        <v>24777660</v>
      </c>
      <c r="P16" s="64">
        <v>77.24443153936721</v>
      </c>
      <c r="Q16" s="69">
        <v>0</v>
      </c>
      <c r="R16" s="69">
        <v>24777660</v>
      </c>
      <c r="S16" s="69">
        <v>0</v>
      </c>
    </row>
    <row r="17" spans="1:19" s="68" customFormat="1" ht="15">
      <c r="A17" s="69"/>
      <c r="B17" s="76"/>
      <c r="C17" s="75"/>
      <c r="D17" s="69"/>
      <c r="E17" s="69"/>
      <c r="F17" s="69"/>
      <c r="G17" s="64"/>
      <c r="H17" s="64"/>
      <c r="I17" s="73"/>
      <c r="J17" s="73"/>
      <c r="M17" s="69" t="s">
        <v>6</v>
      </c>
      <c r="N17" s="73"/>
      <c r="O17" s="73">
        <v>0</v>
      </c>
      <c r="P17" s="64" t="e">
        <v>#DIV/0!</v>
      </c>
      <c r="Q17" s="69"/>
      <c r="R17" s="69"/>
      <c r="S17" s="69"/>
    </row>
    <row r="18" spans="1:19" s="68" customFormat="1" ht="30">
      <c r="A18" s="69" t="s">
        <v>9</v>
      </c>
      <c r="B18" s="145">
        <v>51</v>
      </c>
      <c r="C18" s="74" t="s">
        <v>88</v>
      </c>
      <c r="D18" s="71">
        <v>24</v>
      </c>
      <c r="E18" s="72" t="s">
        <v>67</v>
      </c>
      <c r="F18" s="79">
        <f>G18/$G$26*70.17</f>
        <v>8.93633453257122</v>
      </c>
      <c r="G18" s="64">
        <v>514019549</v>
      </c>
      <c r="H18" s="64"/>
      <c r="I18" s="73">
        <f aca="true" t="shared" si="2" ref="I18:I39">J18/G18*100</f>
        <v>82.71767811694647</v>
      </c>
      <c r="J18" s="64">
        <v>425185036</v>
      </c>
      <c r="M18" s="69" t="s">
        <v>30</v>
      </c>
      <c r="N18" s="73">
        <v>127710766</v>
      </c>
      <c r="O18" s="73">
        <v>100058433</v>
      </c>
      <c r="P18" s="64">
        <v>78.34768840083537</v>
      </c>
      <c r="Q18" s="69">
        <v>63366057</v>
      </c>
      <c r="R18" s="69">
        <v>36692376</v>
      </c>
      <c r="S18" s="69">
        <v>0</v>
      </c>
    </row>
    <row r="19" spans="1:19" s="68" customFormat="1" ht="15">
      <c r="A19" s="69"/>
      <c r="B19" s="146"/>
      <c r="C19" s="74" t="s">
        <v>89</v>
      </c>
      <c r="D19" s="71">
        <v>4</v>
      </c>
      <c r="E19" s="69" t="s">
        <v>68</v>
      </c>
      <c r="F19" s="79">
        <f aca="true" t="shared" si="3" ref="F19:F25">G19/$G$26*70.17</f>
        <v>1.4480420530876585</v>
      </c>
      <c r="G19" s="64">
        <f>80091636+3200000</f>
        <v>83291636</v>
      </c>
      <c r="H19" s="64"/>
      <c r="I19" s="73">
        <f t="shared" si="2"/>
        <v>87.7397221492924</v>
      </c>
      <c r="J19" s="64">
        <v>73079850</v>
      </c>
      <c r="M19" s="69" t="s">
        <v>31</v>
      </c>
      <c r="N19" s="73">
        <v>848697</v>
      </c>
      <c r="O19" s="73">
        <v>0</v>
      </c>
      <c r="P19" s="64">
        <v>0</v>
      </c>
      <c r="Q19" s="69">
        <v>0</v>
      </c>
      <c r="R19" s="69">
        <v>0</v>
      </c>
      <c r="S19" s="69">
        <v>0</v>
      </c>
    </row>
    <row r="20" spans="1:19" s="68" customFormat="1" ht="30">
      <c r="A20" s="69"/>
      <c r="B20" s="146"/>
      <c r="C20" s="74" t="s">
        <v>90</v>
      </c>
      <c r="D20" s="71">
        <v>30</v>
      </c>
      <c r="E20" s="72" t="s">
        <v>69</v>
      </c>
      <c r="F20" s="79">
        <f t="shared" si="3"/>
        <v>50.205125136536566</v>
      </c>
      <c r="G20" s="64">
        <v>2887807712</v>
      </c>
      <c r="H20" s="64"/>
      <c r="I20" s="73">
        <f t="shared" si="2"/>
        <v>90.39005385134175</v>
      </c>
      <c r="J20" s="64">
        <v>2610290946</v>
      </c>
      <c r="M20" s="69" t="s">
        <v>44</v>
      </c>
      <c r="N20" s="73">
        <v>20800448</v>
      </c>
      <c r="O20" s="73">
        <v>15828170</v>
      </c>
      <c r="P20" s="64">
        <v>76.09533217746079</v>
      </c>
      <c r="Q20" s="69">
        <v>13513412</v>
      </c>
      <c r="R20" s="69">
        <v>2314758</v>
      </c>
      <c r="S20" s="69">
        <v>0</v>
      </c>
    </row>
    <row r="21" spans="1:19" s="68" customFormat="1" ht="60">
      <c r="A21" s="69"/>
      <c r="B21" s="146"/>
      <c r="C21" s="69" t="s">
        <v>91</v>
      </c>
      <c r="D21" s="71">
        <v>7</v>
      </c>
      <c r="E21" s="72" t="s">
        <v>70</v>
      </c>
      <c r="F21" s="79">
        <f t="shared" si="3"/>
        <v>1.7763558344925137</v>
      </c>
      <c r="G21" s="64">
        <v>102176303</v>
      </c>
      <c r="H21" s="64"/>
      <c r="I21" s="73">
        <f t="shared" si="2"/>
        <v>37.96317723494067</v>
      </c>
      <c r="J21" s="64">
        <v>38789371</v>
      </c>
      <c r="M21" s="69" t="s">
        <v>33</v>
      </c>
      <c r="N21" s="73">
        <v>165707564</v>
      </c>
      <c r="O21" s="73">
        <v>97951665</v>
      </c>
      <c r="P21" s="64">
        <v>59.111161033059425</v>
      </c>
      <c r="Q21" s="69">
        <v>18361800</v>
      </c>
      <c r="R21" s="69">
        <v>79589865</v>
      </c>
      <c r="S21" s="69">
        <v>0</v>
      </c>
    </row>
    <row r="22" spans="1:19" s="68" customFormat="1" ht="30">
      <c r="A22" s="69"/>
      <c r="B22" s="146"/>
      <c r="C22" s="74" t="s">
        <v>92</v>
      </c>
      <c r="D22" s="71">
        <v>10</v>
      </c>
      <c r="E22" s="72" t="s">
        <v>71</v>
      </c>
      <c r="F22" s="79">
        <f t="shared" si="3"/>
        <v>2.485501959108421</v>
      </c>
      <c r="G22" s="64">
        <v>142966514</v>
      </c>
      <c r="H22" s="64"/>
      <c r="I22" s="73">
        <f t="shared" si="2"/>
        <v>79.81591689365804</v>
      </c>
      <c r="J22" s="64">
        <v>114110034</v>
      </c>
      <c r="M22" s="69" t="s">
        <v>52</v>
      </c>
      <c r="N22" s="73">
        <v>54000000</v>
      </c>
      <c r="O22" s="73">
        <v>39715206</v>
      </c>
      <c r="P22" s="64">
        <v>73.54667777777777</v>
      </c>
      <c r="Q22" s="69">
        <v>0</v>
      </c>
      <c r="R22" s="69">
        <v>39715206</v>
      </c>
      <c r="S22" s="69">
        <v>0</v>
      </c>
    </row>
    <row r="23" spans="1:19" s="68" customFormat="1" ht="30">
      <c r="A23" s="69"/>
      <c r="B23" s="146"/>
      <c r="C23" s="69" t="s">
        <v>93</v>
      </c>
      <c r="D23" s="71">
        <v>10</v>
      </c>
      <c r="E23" s="72" t="s">
        <v>72</v>
      </c>
      <c r="F23" s="79">
        <f t="shared" si="3"/>
        <v>2.390000167675421</v>
      </c>
      <c r="G23" s="64">
        <v>137473234</v>
      </c>
      <c r="H23" s="64"/>
      <c r="I23" s="73">
        <f t="shared" si="2"/>
        <v>96.3788848671444</v>
      </c>
      <c r="J23" s="64">
        <v>132495169.92</v>
      </c>
      <c r="M23" s="69" t="s">
        <v>53</v>
      </c>
      <c r="N23" s="73">
        <v>468468094</v>
      </c>
      <c r="O23" s="73">
        <v>354344830</v>
      </c>
      <c r="P23" s="64">
        <v>75.63905301947842</v>
      </c>
      <c r="Q23" s="69">
        <v>0</v>
      </c>
      <c r="R23" s="69">
        <v>354344830</v>
      </c>
      <c r="S23" s="69">
        <v>0</v>
      </c>
    </row>
    <row r="24" spans="1:19" s="68" customFormat="1" ht="30">
      <c r="A24" s="69"/>
      <c r="B24" s="146"/>
      <c r="C24" s="74" t="s">
        <v>94</v>
      </c>
      <c r="D24" s="71">
        <v>15</v>
      </c>
      <c r="E24" s="72" t="s">
        <v>74</v>
      </c>
      <c r="F24" s="79">
        <f t="shared" si="3"/>
        <v>2.7374030765253266</v>
      </c>
      <c r="G24" s="64">
        <v>157455911</v>
      </c>
      <c r="H24" s="64"/>
      <c r="I24" s="73">
        <f t="shared" si="2"/>
        <v>90.80739052089318</v>
      </c>
      <c r="J24" s="64">
        <v>142981604</v>
      </c>
      <c r="M24" s="69" t="s">
        <v>36</v>
      </c>
      <c r="N24" s="73">
        <v>141486440</v>
      </c>
      <c r="O24" s="73">
        <v>130141339</v>
      </c>
      <c r="P24" s="64">
        <v>91.98149236068134</v>
      </c>
      <c r="Q24" s="69">
        <v>5342071</v>
      </c>
      <c r="R24" s="69">
        <v>63146960</v>
      </c>
      <c r="S24" s="69">
        <v>61652308</v>
      </c>
    </row>
    <row r="25" spans="1:19" s="68" customFormat="1" ht="15">
      <c r="A25" s="69"/>
      <c r="B25" s="147"/>
      <c r="C25" s="74" t="s">
        <v>110</v>
      </c>
      <c r="D25" s="71"/>
      <c r="E25" s="72" t="s">
        <v>73</v>
      </c>
      <c r="F25" s="79">
        <f t="shared" si="3"/>
        <v>0.19123724000287667</v>
      </c>
      <c r="G25" s="64">
        <v>11000000</v>
      </c>
      <c r="H25" s="64"/>
      <c r="I25" s="73">
        <f t="shared" si="2"/>
        <v>99.72818181818181</v>
      </c>
      <c r="J25" s="64">
        <v>10970100</v>
      </c>
      <c r="M25" s="69" t="s">
        <v>10</v>
      </c>
      <c r="N25" s="73">
        <v>89371213</v>
      </c>
      <c r="O25" s="73">
        <v>82119274</v>
      </c>
      <c r="P25" s="64">
        <v>91.88559855397733</v>
      </c>
      <c r="Q25" s="69">
        <v>16743950</v>
      </c>
      <c r="R25" s="69">
        <v>65375324</v>
      </c>
      <c r="S25" s="69">
        <v>0</v>
      </c>
    </row>
    <row r="26" spans="1:19" s="68" customFormat="1" ht="15">
      <c r="A26" s="69"/>
      <c r="B26" s="76"/>
      <c r="C26" s="74"/>
      <c r="D26" s="69"/>
      <c r="E26" s="69"/>
      <c r="F26" s="69"/>
      <c r="G26" s="77">
        <f>SUM(G18:G25)</f>
        <v>4036190859</v>
      </c>
      <c r="H26" s="77"/>
      <c r="I26" s="78">
        <f t="shared" si="2"/>
        <v>87.90223839412347</v>
      </c>
      <c r="J26" s="77">
        <f>SUM(J18:J25)</f>
        <v>3547902110.92</v>
      </c>
      <c r="M26" s="69" t="s">
        <v>37</v>
      </c>
      <c r="N26" s="73">
        <v>100515085</v>
      </c>
      <c r="O26" s="73">
        <v>51100871</v>
      </c>
      <c r="P26" s="64">
        <v>50.83900640386465</v>
      </c>
      <c r="Q26" s="69">
        <v>22500000</v>
      </c>
      <c r="R26" s="69">
        <v>28600870.5</v>
      </c>
      <c r="S26" s="69">
        <v>0</v>
      </c>
    </row>
    <row r="27" spans="1:19" s="68" customFormat="1" ht="15">
      <c r="A27" s="69"/>
      <c r="B27" s="76"/>
      <c r="C27" s="74"/>
      <c r="D27" s="69"/>
      <c r="E27" s="69"/>
      <c r="F27" s="69"/>
      <c r="G27" s="78"/>
      <c r="H27" s="78"/>
      <c r="I27" s="73"/>
      <c r="J27" s="78"/>
      <c r="M27" s="69" t="s">
        <v>54</v>
      </c>
      <c r="N27" s="73">
        <v>52050774</v>
      </c>
      <c r="O27" s="73">
        <v>44968012</v>
      </c>
      <c r="P27" s="64">
        <v>86.39259043487039</v>
      </c>
      <c r="Q27" s="69">
        <v>22092022</v>
      </c>
      <c r="R27" s="69">
        <v>0</v>
      </c>
      <c r="S27" s="69">
        <v>22875990</v>
      </c>
    </row>
    <row r="28" spans="1:19" s="68" customFormat="1" ht="28.5" customHeight="1">
      <c r="A28" s="72" t="s">
        <v>15</v>
      </c>
      <c r="B28" s="145">
        <v>10</v>
      </c>
      <c r="C28" s="69" t="s">
        <v>86</v>
      </c>
      <c r="D28" s="69">
        <v>30</v>
      </c>
      <c r="E28" s="80" t="s">
        <v>75</v>
      </c>
      <c r="F28" s="79">
        <f>G28/$G$30*0.05</f>
        <v>0.02116278546849778</v>
      </c>
      <c r="G28" s="81">
        <v>44800000</v>
      </c>
      <c r="H28" s="82"/>
      <c r="I28" s="73">
        <f t="shared" si="2"/>
        <v>0</v>
      </c>
      <c r="J28" s="82">
        <v>0</v>
      </c>
      <c r="M28" s="69" t="s">
        <v>11</v>
      </c>
      <c r="N28" s="73">
        <v>3752917667</v>
      </c>
      <c r="O28" s="73">
        <v>3002972956</v>
      </c>
      <c r="P28" s="64">
        <v>80.0170220201103</v>
      </c>
      <c r="Q28" s="69">
        <v>0</v>
      </c>
      <c r="R28" s="69">
        <v>1608628569</v>
      </c>
      <c r="S28" s="69">
        <v>1394344387</v>
      </c>
    </row>
    <row r="29" spans="1:19" s="68" customFormat="1" ht="45">
      <c r="A29" s="69"/>
      <c r="B29" s="147"/>
      <c r="C29" s="74" t="s">
        <v>87</v>
      </c>
      <c r="D29" s="69">
        <v>70</v>
      </c>
      <c r="E29" s="72" t="s">
        <v>76</v>
      </c>
      <c r="F29" s="79">
        <f>G29/$G$30*0.05</f>
        <v>0.028837214531502228</v>
      </c>
      <c r="G29" s="65">
        <v>61046180</v>
      </c>
      <c r="H29" s="65"/>
      <c r="I29" s="73">
        <f t="shared" si="2"/>
        <v>97.77649641631957</v>
      </c>
      <c r="J29" s="64">
        <v>59688816</v>
      </c>
      <c r="M29" s="69" t="s">
        <v>55</v>
      </c>
      <c r="N29" s="73">
        <v>184696588</v>
      </c>
      <c r="O29" s="73">
        <v>150273337</v>
      </c>
      <c r="P29" s="64">
        <v>81.36227021151035</v>
      </c>
      <c r="Q29" s="69">
        <v>0</v>
      </c>
      <c r="R29" s="69">
        <v>150273337</v>
      </c>
      <c r="S29" s="69">
        <v>0</v>
      </c>
    </row>
    <row r="30" spans="1:19" s="68" customFormat="1" ht="15">
      <c r="A30" s="69"/>
      <c r="B30" s="76"/>
      <c r="C30" s="74"/>
      <c r="D30" s="69"/>
      <c r="E30" s="69"/>
      <c r="F30" s="69"/>
      <c r="G30" s="83">
        <f>SUM(G28:G29)</f>
        <v>105846180</v>
      </c>
      <c r="H30" s="83"/>
      <c r="I30" s="78">
        <f t="shared" si="2"/>
        <v>56.392036065921324</v>
      </c>
      <c r="J30" s="83">
        <f>SUM(J28:J29)</f>
        <v>59688816</v>
      </c>
      <c r="M30" s="69" t="s">
        <v>7</v>
      </c>
      <c r="N30" s="73">
        <v>2547339</v>
      </c>
      <c r="O30" s="73">
        <v>0</v>
      </c>
      <c r="P30" s="64">
        <v>0</v>
      </c>
      <c r="Q30" s="69">
        <v>0</v>
      </c>
      <c r="R30" s="69">
        <v>0</v>
      </c>
      <c r="S30" s="69">
        <v>0</v>
      </c>
    </row>
    <row r="31" spans="1:19" s="68" customFormat="1" ht="15">
      <c r="A31" s="69"/>
      <c r="B31" s="76"/>
      <c r="C31" s="74"/>
      <c r="D31" s="69"/>
      <c r="E31" s="69"/>
      <c r="F31" s="69"/>
      <c r="G31" s="69"/>
      <c r="H31" s="69"/>
      <c r="I31" s="69"/>
      <c r="J31" s="69"/>
      <c r="M31" s="69" t="s">
        <v>25</v>
      </c>
      <c r="N31" s="73">
        <v>18750169</v>
      </c>
      <c r="O31" s="73">
        <v>18620524</v>
      </c>
      <c r="P31" s="64">
        <v>99.30856623212303</v>
      </c>
      <c r="Q31" s="69">
        <v>0</v>
      </c>
      <c r="R31" s="69">
        <v>18620524</v>
      </c>
      <c r="S31" s="69">
        <v>0</v>
      </c>
    </row>
    <row r="32" spans="1:19" s="68" customFormat="1" ht="30">
      <c r="A32" s="69" t="s">
        <v>14</v>
      </c>
      <c r="B32" s="145">
        <v>15</v>
      </c>
      <c r="C32" s="74" t="s">
        <v>81</v>
      </c>
      <c r="D32" s="69">
        <v>10</v>
      </c>
      <c r="E32" s="72" t="s">
        <v>79</v>
      </c>
      <c r="F32" s="79">
        <f>G32/G$37*7.28</f>
        <v>3.40636829715585</v>
      </c>
      <c r="G32" s="64">
        <v>335658429</v>
      </c>
      <c r="H32" s="64"/>
      <c r="I32" s="73">
        <f t="shared" si="2"/>
        <v>94.22609732824554</v>
      </c>
      <c r="J32" s="64">
        <v>316277838</v>
      </c>
      <c r="M32" s="70" t="s">
        <v>40</v>
      </c>
      <c r="N32" s="78">
        <v>7041553110</v>
      </c>
      <c r="O32" s="78">
        <f>SUM(O9:O31)</f>
        <v>5354226965</v>
      </c>
      <c r="P32" s="83">
        <v>76.03758546869783</v>
      </c>
      <c r="Q32" s="70">
        <v>232402402</v>
      </c>
      <c r="R32" s="70">
        <v>3308925930</v>
      </c>
      <c r="S32" s="70">
        <v>1812898632.3400002</v>
      </c>
    </row>
    <row r="33" spans="1:10" s="68" customFormat="1" ht="15">
      <c r="A33" s="69"/>
      <c r="B33" s="146"/>
      <c r="C33" s="74" t="s">
        <v>82</v>
      </c>
      <c r="D33" s="69">
        <v>2</v>
      </c>
      <c r="E33" s="72" t="s">
        <v>111</v>
      </c>
      <c r="F33" s="79">
        <f>G33/G$37*7.28</f>
        <v>0.5202920584283133</v>
      </c>
      <c r="G33" s="64">
        <v>51268800</v>
      </c>
      <c r="H33" s="64"/>
      <c r="I33" s="73">
        <f t="shared" si="2"/>
        <v>99.97423384202479</v>
      </c>
      <c r="J33" s="64">
        <v>51255590</v>
      </c>
    </row>
    <row r="34" spans="1:10" s="68" customFormat="1" ht="30">
      <c r="A34" s="69"/>
      <c r="B34" s="146"/>
      <c r="C34" s="74" t="s">
        <v>83</v>
      </c>
      <c r="D34" s="69">
        <v>10</v>
      </c>
      <c r="E34" s="72" t="s">
        <v>112</v>
      </c>
      <c r="F34" s="79">
        <f>G34/G$37*7.28</f>
        <v>0.3549881449111818</v>
      </c>
      <c r="G34" s="64">
        <v>34980000</v>
      </c>
      <c r="H34" s="64"/>
      <c r="I34" s="73">
        <f t="shared" si="2"/>
        <v>5.546026300743282</v>
      </c>
      <c r="J34" s="64">
        <v>1940000</v>
      </c>
    </row>
    <row r="35" spans="1:10" s="68" customFormat="1" ht="30">
      <c r="A35" s="66"/>
      <c r="B35" s="146"/>
      <c r="C35" s="74" t="s">
        <v>84</v>
      </c>
      <c r="D35" s="69">
        <v>40</v>
      </c>
      <c r="E35" s="72" t="s">
        <v>77</v>
      </c>
      <c r="F35" s="79">
        <f>G35/G$37*7.28</f>
        <v>1.6306438281904687</v>
      </c>
      <c r="G35" s="64">
        <v>160681200</v>
      </c>
      <c r="H35" s="64"/>
      <c r="I35" s="73">
        <f t="shared" si="2"/>
        <v>99.34115938890176</v>
      </c>
      <c r="J35" s="64">
        <v>159622567</v>
      </c>
    </row>
    <row r="36" spans="1:10" s="68" customFormat="1" ht="60">
      <c r="A36" s="66"/>
      <c r="B36" s="147"/>
      <c r="C36" s="69" t="s">
        <v>85</v>
      </c>
      <c r="D36" s="69">
        <v>2</v>
      </c>
      <c r="E36" s="72" t="s">
        <v>78</v>
      </c>
      <c r="F36" s="79">
        <f>G36/G$37*7.28</f>
        <v>1.3677076713141862</v>
      </c>
      <c r="G36" s="64">
        <v>134771865</v>
      </c>
      <c r="H36" s="64"/>
      <c r="I36" s="73">
        <f t="shared" si="2"/>
        <v>82.20563468495446</v>
      </c>
      <c r="J36" s="64">
        <v>110790067</v>
      </c>
    </row>
    <row r="37" spans="1:10" s="68" customFormat="1" ht="15">
      <c r="A37" s="69"/>
      <c r="B37" s="76"/>
      <c r="C37" s="69"/>
      <c r="D37" s="69"/>
      <c r="E37" s="69"/>
      <c r="F37" s="79"/>
      <c r="G37" s="84">
        <f>SUM(G32:G36)</f>
        <v>717360294</v>
      </c>
      <c r="H37" s="84"/>
      <c r="I37" s="78">
        <f t="shared" si="2"/>
        <v>89.20009475740513</v>
      </c>
      <c r="J37" s="84">
        <f>SUM(J32:J36)</f>
        <v>639886062</v>
      </c>
    </row>
    <row r="38" spans="1:10" s="68" customFormat="1" ht="15">
      <c r="A38" s="69"/>
      <c r="B38" s="76"/>
      <c r="C38" s="69"/>
      <c r="D38" s="69"/>
      <c r="E38" s="69"/>
      <c r="F38" s="69"/>
      <c r="G38" s="69"/>
      <c r="H38" s="69"/>
      <c r="I38" s="69"/>
      <c r="J38" s="69"/>
    </row>
    <row r="39" spans="1:10" s="68" customFormat="1" ht="15">
      <c r="A39" s="69"/>
      <c r="B39" s="69"/>
      <c r="C39" s="69"/>
      <c r="D39" s="69"/>
      <c r="E39" s="69"/>
      <c r="F39" s="69"/>
      <c r="G39" s="84">
        <f>G15+G26+G30+G37</f>
        <v>6454789274</v>
      </c>
      <c r="H39" s="84"/>
      <c r="I39" s="78">
        <f t="shared" si="2"/>
        <v>81.75960984779935</v>
      </c>
      <c r="J39" s="84">
        <f>J15+J26+J30+J37</f>
        <v>5277410526.92</v>
      </c>
    </row>
    <row r="40" spans="1:10" s="68" customFormat="1" ht="1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2" ht="15">
      <c r="A42" t="str">
        <f>'año 2009'!A42</f>
        <v>MARIA JOSEFINA LOPEZ RAMIREZ</v>
      </c>
    </row>
    <row r="43" ht="15">
      <c r="A43" t="str">
        <f>'año 2009'!A43</f>
        <v>JEFE ASESORA  OFICINA DE PLANEACION (e)</v>
      </c>
    </row>
    <row r="44" spans="1:8" ht="15">
      <c r="A44" t="str">
        <f>'año 2009'!A44</f>
        <v>Fuente</v>
      </c>
      <c r="G44" s="32"/>
      <c r="H44" s="32"/>
    </row>
    <row r="45" ht="15">
      <c r="A45" t="s">
        <v>108</v>
      </c>
    </row>
    <row r="46" spans="6:10" ht="15" hidden="1">
      <c r="F46">
        <v>17</v>
      </c>
      <c r="G46" s="26">
        <f>+G15/G50*100</f>
        <v>22.65681897271098</v>
      </c>
      <c r="H46" s="26"/>
      <c r="J46" s="26">
        <f>+J15/J50*100</f>
        <v>19.235896138369995</v>
      </c>
    </row>
    <row r="47" spans="6:10" ht="15" hidden="1">
      <c r="F47">
        <v>28</v>
      </c>
      <c r="G47" s="26">
        <f>+G26/G50*100</f>
        <v>57.31961111346357</v>
      </c>
      <c r="H47" s="26"/>
      <c r="J47" s="26">
        <f>+J26/J50*100</f>
        <v>66.26357332463212</v>
      </c>
    </row>
    <row r="48" spans="6:10" ht="15" hidden="1">
      <c r="F48">
        <v>32</v>
      </c>
      <c r="G48" s="26">
        <f>+G30/G50*100</f>
        <v>1.503165258381471</v>
      </c>
      <c r="H48" s="26"/>
      <c r="J48" s="26">
        <f>+J30/J50*100</f>
        <v>1.1147980164116933</v>
      </c>
    </row>
    <row r="49" spans="6:10" ht="15" hidden="1">
      <c r="F49">
        <v>38</v>
      </c>
      <c r="G49" s="26">
        <f>+G37/G50*100</f>
        <v>10.187529409971319</v>
      </c>
      <c r="H49" s="26"/>
      <c r="J49" s="26">
        <f>+J37/J50*100</f>
        <v>11.951044776078147</v>
      </c>
    </row>
    <row r="50" spans="7:10" ht="15" hidden="1">
      <c r="G50" s="22">
        <v>7041553110</v>
      </c>
      <c r="H50" s="37"/>
      <c r="J50" s="22">
        <v>5354226965</v>
      </c>
    </row>
    <row r="51" ht="15" hidden="1"/>
    <row r="52" ht="15">
      <c r="A52" t="s">
        <v>127</v>
      </c>
    </row>
    <row r="53" ht="15">
      <c r="A53" t="s">
        <v>128</v>
      </c>
    </row>
  </sheetData>
  <sheetProtection/>
  <mergeCells count="7">
    <mergeCell ref="B32:B36"/>
    <mergeCell ref="A1:J1"/>
    <mergeCell ref="A2:J2"/>
    <mergeCell ref="A3:J3"/>
    <mergeCell ref="B8:B14"/>
    <mergeCell ref="B18:B25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3" zoomScaleNormal="73" zoomScalePageLayoutView="0" workbookViewId="0" topLeftCell="A29">
      <selection activeCell="A42" sqref="A42"/>
    </sheetView>
  </sheetViews>
  <sheetFormatPr defaultColWidth="11.421875" defaultRowHeight="15"/>
  <cols>
    <col min="1" max="1" width="40.8515625" style="0" customWidth="1"/>
    <col min="3" max="3" width="40.57421875" style="0" customWidth="1"/>
    <col min="4" max="4" width="8.140625" style="0" bestFit="1" customWidth="1"/>
    <col min="5" max="5" width="30.140625" style="0" customWidth="1"/>
    <col min="6" max="6" width="8.140625" style="0" customWidth="1"/>
    <col min="7" max="7" width="19.00390625" style="0" customWidth="1"/>
    <col min="8" max="8" width="9.28125" style="0" bestFit="1" customWidth="1"/>
    <col min="9" max="9" width="18.57421875" style="0" customWidth="1"/>
    <col min="10" max="11" width="0" style="0" hidden="1" customWidth="1"/>
    <col min="12" max="12" width="47.28125" style="0" hidden="1" customWidth="1"/>
    <col min="13" max="13" width="21.57421875" style="0" hidden="1" customWidth="1"/>
    <col min="14" max="14" width="18.57421875" style="0" hidden="1" customWidth="1"/>
    <col min="15" max="15" width="14.28125" style="0" hidden="1" customWidth="1"/>
    <col min="16" max="16" width="21.7109375" style="0" hidden="1" customWidth="1"/>
    <col min="17" max="18" width="14.28125" style="0" hidden="1" customWidth="1"/>
    <col min="19" max="19" width="16.7109375" style="0" customWidth="1"/>
  </cols>
  <sheetData>
    <row r="1" spans="1:9" ht="15">
      <c r="A1" s="138" t="s">
        <v>103</v>
      </c>
      <c r="B1" s="138"/>
      <c r="C1" s="138"/>
      <c r="D1" s="138"/>
      <c r="E1" s="138"/>
      <c r="F1" s="138"/>
      <c r="G1" s="138"/>
      <c r="H1" s="138"/>
      <c r="I1" s="138"/>
    </row>
    <row r="2" spans="1:9" ht="15">
      <c r="A2" s="138" t="s">
        <v>104</v>
      </c>
      <c r="B2" s="138"/>
      <c r="C2" s="138"/>
      <c r="D2" s="138"/>
      <c r="E2" s="138"/>
      <c r="F2" s="138"/>
      <c r="G2" s="138"/>
      <c r="H2" s="138"/>
      <c r="I2" s="138"/>
    </row>
    <row r="3" spans="1:9" ht="15">
      <c r="A3" s="138" t="s">
        <v>46</v>
      </c>
      <c r="B3" s="138"/>
      <c r="C3" s="138"/>
      <c r="D3" s="138"/>
      <c r="E3" s="138"/>
      <c r="F3" s="138"/>
      <c r="G3" s="138"/>
      <c r="H3" s="138"/>
      <c r="I3" s="138"/>
    </row>
    <row r="5" spans="1:19" s="18" customFormat="1" ht="15">
      <c r="A5" s="21" t="s">
        <v>0</v>
      </c>
      <c r="B5" s="21" t="s">
        <v>1</v>
      </c>
      <c r="C5" s="21" t="s">
        <v>2</v>
      </c>
      <c r="D5" s="21" t="s">
        <v>1</v>
      </c>
      <c r="E5" s="21" t="s">
        <v>41</v>
      </c>
      <c r="F5" s="21" t="s">
        <v>42</v>
      </c>
      <c r="G5" s="21" t="s">
        <v>4</v>
      </c>
      <c r="H5" s="21" t="s">
        <v>58</v>
      </c>
      <c r="I5" s="21" t="s">
        <v>5</v>
      </c>
      <c r="S5" s="21" t="s">
        <v>122</v>
      </c>
    </row>
    <row r="6" ht="15" hidden="1">
      <c r="S6" s="1"/>
    </row>
    <row r="7" spans="1:19" ht="15" hidden="1">
      <c r="A7" s="1"/>
      <c r="B7" s="1"/>
      <c r="C7" s="1"/>
      <c r="D7" s="1"/>
      <c r="E7" s="1"/>
      <c r="F7" s="1"/>
      <c r="L7" s="1" t="s">
        <v>2</v>
      </c>
      <c r="M7" s="1"/>
      <c r="N7" s="24" t="s">
        <v>46</v>
      </c>
      <c r="O7" s="1"/>
      <c r="P7" s="1"/>
      <c r="Q7" s="1"/>
      <c r="R7" s="58"/>
      <c r="S7" s="1"/>
    </row>
    <row r="8" spans="1:19" ht="33.75" customHeight="1">
      <c r="A8" s="1" t="s">
        <v>3</v>
      </c>
      <c r="B8" s="135">
        <v>24</v>
      </c>
      <c r="C8" s="1" t="s">
        <v>60</v>
      </c>
      <c r="D8" s="1">
        <v>40</v>
      </c>
      <c r="E8" s="4" t="s">
        <v>62</v>
      </c>
      <c r="F8" s="1">
        <v>16.41</v>
      </c>
      <c r="G8" s="8">
        <f>M11+M23</f>
        <v>1155559825</v>
      </c>
      <c r="H8" s="8">
        <f>I8/G8*100</f>
        <v>47.944837126887826</v>
      </c>
      <c r="I8" s="8">
        <f>N11+N23</f>
        <v>554031276</v>
      </c>
      <c r="L8" s="1"/>
      <c r="M8" s="1" t="s">
        <v>56</v>
      </c>
      <c r="N8" s="1" t="s">
        <v>5</v>
      </c>
      <c r="O8" s="1" t="s">
        <v>19</v>
      </c>
      <c r="P8" s="1" t="s">
        <v>47</v>
      </c>
      <c r="Q8" s="1" t="s">
        <v>48</v>
      </c>
      <c r="R8" s="58" t="s">
        <v>49</v>
      </c>
      <c r="S8" s="1"/>
    </row>
    <row r="9" spans="1:19" ht="30">
      <c r="A9" s="1"/>
      <c r="B9" s="136"/>
      <c r="C9" s="3" t="s">
        <v>97</v>
      </c>
      <c r="D9" s="1">
        <v>5</v>
      </c>
      <c r="E9" s="4" t="s">
        <v>59</v>
      </c>
      <c r="F9" s="1">
        <v>0.27</v>
      </c>
      <c r="G9" s="8">
        <f>M31</f>
        <v>18750169</v>
      </c>
      <c r="H9" s="8">
        <f aca="true" t="shared" si="0" ref="H9:H15">I9/G9*100</f>
        <v>99.30856623212303</v>
      </c>
      <c r="I9" s="8">
        <f>N31</f>
        <v>18620524</v>
      </c>
      <c r="L9" s="1" t="s">
        <v>16</v>
      </c>
      <c r="M9" s="8">
        <v>88534792</v>
      </c>
      <c r="N9" s="8">
        <v>75398361</v>
      </c>
      <c r="O9" s="9">
        <v>85.16240824285214</v>
      </c>
      <c r="P9" s="1">
        <v>5600000</v>
      </c>
      <c r="Q9" s="1">
        <v>58845991</v>
      </c>
      <c r="R9" s="58">
        <v>10952370</v>
      </c>
      <c r="S9" s="1"/>
    </row>
    <row r="10" spans="1:19" ht="75">
      <c r="A10" s="1"/>
      <c r="B10" s="136"/>
      <c r="C10" s="2" t="s">
        <v>96</v>
      </c>
      <c r="D10" s="1">
        <v>9</v>
      </c>
      <c r="E10" s="4" t="s">
        <v>61</v>
      </c>
      <c r="F10" s="1">
        <v>0</v>
      </c>
      <c r="G10" s="8">
        <v>0</v>
      </c>
      <c r="H10" s="8">
        <v>0</v>
      </c>
      <c r="I10" s="8">
        <v>0</v>
      </c>
      <c r="J10" s="18" t="s">
        <v>43</v>
      </c>
      <c r="L10" s="1" t="s">
        <v>12</v>
      </c>
      <c r="M10" s="8">
        <v>619656142</v>
      </c>
      <c r="N10" s="8">
        <v>545807830</v>
      </c>
      <c r="O10" s="9">
        <v>88.08237235870084</v>
      </c>
      <c r="P10" s="1">
        <v>3066100</v>
      </c>
      <c r="Q10" s="1">
        <v>339668153</v>
      </c>
      <c r="R10" s="58">
        <v>203073577</v>
      </c>
      <c r="S10" s="1"/>
    </row>
    <row r="11" spans="1:19" ht="30">
      <c r="A11" s="1"/>
      <c r="B11" s="136"/>
      <c r="C11" s="19" t="s">
        <v>98</v>
      </c>
      <c r="D11" s="19">
        <v>4</v>
      </c>
      <c r="E11" s="4" t="s">
        <v>63</v>
      </c>
      <c r="F11" s="1">
        <v>4.55</v>
      </c>
      <c r="G11" s="8">
        <f>M13-3000000</f>
        <v>320438594</v>
      </c>
      <c r="H11" s="8">
        <f t="shared" si="0"/>
        <v>98.7331123416426</v>
      </c>
      <c r="I11" s="8">
        <f>N13</f>
        <v>316378997</v>
      </c>
      <c r="L11" s="1" t="s">
        <v>50</v>
      </c>
      <c r="M11" s="8">
        <v>687091731</v>
      </c>
      <c r="N11" s="8">
        <v>199686446</v>
      </c>
      <c r="O11" s="9">
        <v>29.062559843264946</v>
      </c>
      <c r="P11" s="1">
        <v>0</v>
      </c>
      <c r="Q11" s="1">
        <v>199686446</v>
      </c>
      <c r="R11" s="58">
        <v>0</v>
      </c>
      <c r="S11" s="1"/>
    </row>
    <row r="12" spans="1:19" ht="45">
      <c r="A12" s="1"/>
      <c r="B12" s="136"/>
      <c r="C12" s="2" t="s">
        <v>99</v>
      </c>
      <c r="D12" s="1">
        <v>22</v>
      </c>
      <c r="E12" s="4" t="s">
        <v>64</v>
      </c>
      <c r="F12" s="1">
        <v>1.23</v>
      </c>
      <c r="G12" s="8">
        <f>M12</f>
        <v>87028054</v>
      </c>
      <c r="H12" s="8">
        <f t="shared" si="0"/>
        <v>92.18987477302434</v>
      </c>
      <c r="I12" s="8">
        <f>N12</f>
        <v>80231054</v>
      </c>
      <c r="L12" s="1" t="s">
        <v>8</v>
      </c>
      <c r="M12" s="8">
        <v>87028054</v>
      </c>
      <c r="N12" s="8">
        <v>80231054</v>
      </c>
      <c r="O12" s="9">
        <v>92.18987477302434</v>
      </c>
      <c r="P12" s="1">
        <v>0</v>
      </c>
      <c r="Q12" s="1">
        <v>80231054</v>
      </c>
      <c r="R12" s="58">
        <v>0</v>
      </c>
      <c r="S12" s="1"/>
    </row>
    <row r="13" spans="1:19" ht="30">
      <c r="A13" s="1"/>
      <c r="B13" s="136"/>
      <c r="C13" s="2" t="s">
        <v>100</v>
      </c>
      <c r="D13" s="1">
        <v>8</v>
      </c>
      <c r="E13" s="4" t="s">
        <v>65</v>
      </c>
      <c r="F13" s="1">
        <v>0.04</v>
      </c>
      <c r="G13" s="8">
        <f>M30</f>
        <v>2547339</v>
      </c>
      <c r="H13" s="8">
        <f t="shared" si="0"/>
        <v>0</v>
      </c>
      <c r="I13" s="8">
        <v>0</v>
      </c>
      <c r="L13" s="1" t="s">
        <v>13</v>
      </c>
      <c r="M13" s="8">
        <v>323438594</v>
      </c>
      <c r="N13" s="8">
        <v>316378997</v>
      </c>
      <c r="O13" s="9">
        <v>97.81733004936325</v>
      </c>
      <c r="P13" s="1">
        <v>61816990</v>
      </c>
      <c r="Q13" s="1">
        <v>134562007</v>
      </c>
      <c r="R13" s="58">
        <v>120000000</v>
      </c>
      <c r="S13" s="1"/>
    </row>
    <row r="14" spans="1:19" ht="30">
      <c r="A14" s="1"/>
      <c r="B14" s="137"/>
      <c r="C14" s="2" t="s">
        <v>101</v>
      </c>
      <c r="D14" s="1">
        <v>12</v>
      </c>
      <c r="E14" s="4" t="s">
        <v>66</v>
      </c>
      <c r="F14" s="1"/>
      <c r="G14" s="8">
        <f>M17</f>
        <v>0</v>
      </c>
      <c r="H14" s="8">
        <v>0</v>
      </c>
      <c r="I14" s="8">
        <v>0</v>
      </c>
      <c r="L14" s="1" t="s">
        <v>26</v>
      </c>
      <c r="M14" s="8">
        <v>23856000</v>
      </c>
      <c r="N14" s="8">
        <v>23852000</v>
      </c>
      <c r="O14" s="9">
        <v>99.9832327297116</v>
      </c>
      <c r="P14" s="1">
        <v>0</v>
      </c>
      <c r="Q14" s="1">
        <v>23852000</v>
      </c>
      <c r="R14" s="58">
        <v>0</v>
      </c>
      <c r="S14" s="1"/>
    </row>
    <row r="15" spans="1:19" ht="15">
      <c r="A15" s="1"/>
      <c r="B15" s="28"/>
      <c r="C15" s="2"/>
      <c r="D15" s="1"/>
      <c r="E15" s="1"/>
      <c r="F15" s="1"/>
      <c r="G15" s="23">
        <f>SUM(G8:G14)</f>
        <v>1584323981</v>
      </c>
      <c r="H15" s="16">
        <f t="shared" si="0"/>
        <v>61.178260420461314</v>
      </c>
      <c r="I15" s="23">
        <f>SUM(I8:I14)</f>
        <v>969261851</v>
      </c>
      <c r="L15" s="1" t="s">
        <v>27</v>
      </c>
      <c r="M15" s="8">
        <v>0</v>
      </c>
      <c r="N15" s="8">
        <v>0</v>
      </c>
      <c r="O15" s="9" t="e">
        <v>#DIV/0!</v>
      </c>
      <c r="P15" s="1">
        <v>0</v>
      </c>
      <c r="Q15" s="1">
        <v>0</v>
      </c>
      <c r="R15" s="58">
        <v>0</v>
      </c>
      <c r="S15" s="1"/>
    </row>
    <row r="16" spans="1:19" ht="15" hidden="1">
      <c r="A16" s="1"/>
      <c r="B16" s="28"/>
      <c r="C16" s="2"/>
      <c r="D16" s="1"/>
      <c r="E16" s="1"/>
      <c r="F16" s="1"/>
      <c r="G16" s="8"/>
      <c r="H16" s="8"/>
      <c r="I16" s="8"/>
      <c r="L16" s="1" t="s">
        <v>51</v>
      </c>
      <c r="M16" s="8">
        <v>32076953</v>
      </c>
      <c r="N16" s="8">
        <v>24777660</v>
      </c>
      <c r="O16" s="9">
        <v>77.24443153936721</v>
      </c>
      <c r="P16" s="1">
        <v>0</v>
      </c>
      <c r="Q16" s="1">
        <v>24777660</v>
      </c>
      <c r="R16" s="58">
        <v>0</v>
      </c>
      <c r="S16" s="1"/>
    </row>
    <row r="17" spans="1:19" ht="15">
      <c r="A17" s="1"/>
      <c r="B17" s="28"/>
      <c r="C17" s="2"/>
      <c r="D17" s="1"/>
      <c r="E17" s="1"/>
      <c r="F17" s="1"/>
      <c r="G17" s="8"/>
      <c r="H17" s="8"/>
      <c r="I17" s="8"/>
      <c r="L17" s="1" t="s">
        <v>6</v>
      </c>
      <c r="M17" s="8"/>
      <c r="N17" s="8">
        <v>0</v>
      </c>
      <c r="O17" s="9" t="e">
        <v>#DIV/0!</v>
      </c>
      <c r="P17" s="1"/>
      <c r="Q17" s="1"/>
      <c r="R17" s="58"/>
      <c r="S17" s="1"/>
    </row>
    <row r="18" spans="1:19" ht="30">
      <c r="A18" s="1" t="s">
        <v>9</v>
      </c>
      <c r="B18" s="135">
        <v>51</v>
      </c>
      <c r="C18" s="3" t="s">
        <v>88</v>
      </c>
      <c r="D18" s="1">
        <v>24</v>
      </c>
      <c r="E18" s="4" t="s">
        <v>67</v>
      </c>
      <c r="F18" s="27">
        <f>G18/$G$26*70.17</f>
        <v>8.800108686207121</v>
      </c>
      <c r="G18" s="8">
        <f>M10</f>
        <v>619656142</v>
      </c>
      <c r="H18" s="8">
        <f aca="true" t="shared" si="1" ref="H18:H39">I18/G18*100</f>
        <v>88.08237230383169</v>
      </c>
      <c r="I18" s="8">
        <f>N10</f>
        <v>545807830</v>
      </c>
      <c r="L18" s="1" t="s">
        <v>30</v>
      </c>
      <c r="M18" s="8">
        <v>127710766</v>
      </c>
      <c r="N18" s="8">
        <v>100058433</v>
      </c>
      <c r="O18" s="9">
        <v>78.34768840083537</v>
      </c>
      <c r="P18" s="1">
        <v>63366057</v>
      </c>
      <c r="Q18" s="1">
        <v>36692376</v>
      </c>
      <c r="R18" s="58">
        <v>0</v>
      </c>
      <c r="S18" s="1"/>
    </row>
    <row r="19" spans="1:19" ht="15">
      <c r="A19" s="1"/>
      <c r="B19" s="136"/>
      <c r="C19" s="3" t="s">
        <v>89</v>
      </c>
      <c r="D19" s="1">
        <v>4</v>
      </c>
      <c r="E19" s="1" t="s">
        <v>68</v>
      </c>
      <c r="F19" s="27">
        <f aca="true" t="shared" si="2" ref="F19:F25">G19/$G$26*70.17</f>
        <v>1.2573357049218772</v>
      </c>
      <c r="G19" s="8">
        <f>M9</f>
        <v>88534792</v>
      </c>
      <c r="H19" s="8">
        <f t="shared" si="1"/>
        <v>85.16240824285214</v>
      </c>
      <c r="I19" s="8">
        <f>N9</f>
        <v>75398361</v>
      </c>
      <c r="L19" s="1" t="s">
        <v>31</v>
      </c>
      <c r="M19" s="8">
        <v>848697</v>
      </c>
      <c r="N19" s="8">
        <v>0</v>
      </c>
      <c r="O19" s="9">
        <v>0</v>
      </c>
      <c r="P19" s="1">
        <v>0</v>
      </c>
      <c r="Q19" s="1">
        <v>0</v>
      </c>
      <c r="R19" s="58">
        <v>0</v>
      </c>
      <c r="S19" s="1"/>
    </row>
    <row r="20" spans="1:19" ht="30">
      <c r="A20" s="1"/>
      <c r="B20" s="136"/>
      <c r="C20" s="3" t="s">
        <v>90</v>
      </c>
      <c r="D20" s="1">
        <v>30</v>
      </c>
      <c r="E20" s="4" t="s">
        <v>69</v>
      </c>
      <c r="F20" s="27">
        <f t="shared" si="2"/>
        <v>53.29743566067464</v>
      </c>
      <c r="G20" s="8">
        <f>M28</f>
        <v>3752917667</v>
      </c>
      <c r="H20" s="8">
        <f t="shared" si="1"/>
        <v>80.0170220201103</v>
      </c>
      <c r="I20" s="8">
        <f>N28</f>
        <v>3002972956</v>
      </c>
      <c r="L20" s="1" t="s">
        <v>44</v>
      </c>
      <c r="M20" s="8">
        <v>20800448</v>
      </c>
      <c r="N20" s="8">
        <v>15828170</v>
      </c>
      <c r="O20" s="9">
        <v>76.09533217746079</v>
      </c>
      <c r="P20" s="1">
        <v>13513412</v>
      </c>
      <c r="Q20" s="1">
        <v>2314758</v>
      </c>
      <c r="R20" s="58">
        <v>0</v>
      </c>
      <c r="S20" s="1"/>
    </row>
    <row r="21" spans="1:19" ht="60">
      <c r="A21" s="1"/>
      <c r="B21" s="136"/>
      <c r="C21" s="1" t="s">
        <v>91</v>
      </c>
      <c r="D21" s="1">
        <v>7</v>
      </c>
      <c r="E21" s="4" t="s">
        <v>70</v>
      </c>
      <c r="F21" s="27">
        <f t="shared" si="2"/>
        <v>1.4274750343769644</v>
      </c>
      <c r="G21" s="8">
        <f>M26</f>
        <v>100515085</v>
      </c>
      <c r="H21" s="8">
        <f t="shared" si="1"/>
        <v>50.83900690130243</v>
      </c>
      <c r="I21" s="8">
        <f>N26</f>
        <v>51100871</v>
      </c>
      <c r="L21" s="1" t="s">
        <v>33</v>
      </c>
      <c r="M21" s="8">
        <v>165707564</v>
      </c>
      <c r="N21" s="8">
        <v>97951665</v>
      </c>
      <c r="O21" s="9">
        <v>59.111161033059425</v>
      </c>
      <c r="P21" s="1">
        <v>18361800</v>
      </c>
      <c r="Q21" s="1">
        <v>79589865</v>
      </c>
      <c r="R21" s="58">
        <v>0</v>
      </c>
      <c r="S21" s="1"/>
    </row>
    <row r="22" spans="1:19" ht="30">
      <c r="A22" s="1"/>
      <c r="B22" s="136"/>
      <c r="C22" s="3" t="s">
        <v>92</v>
      </c>
      <c r="D22" s="1">
        <v>10</v>
      </c>
      <c r="E22" s="4" t="s">
        <v>71</v>
      </c>
      <c r="F22" s="27">
        <f t="shared" si="2"/>
        <v>2.009333830866027</v>
      </c>
      <c r="G22" s="8">
        <f>M24</f>
        <v>141486440</v>
      </c>
      <c r="H22" s="8">
        <f t="shared" si="1"/>
        <v>91.98149236068134</v>
      </c>
      <c r="I22" s="8">
        <f>N24</f>
        <v>130141339</v>
      </c>
      <c r="L22" s="1" t="s">
        <v>52</v>
      </c>
      <c r="M22" s="8">
        <v>54000000</v>
      </c>
      <c r="N22" s="8">
        <v>39715206</v>
      </c>
      <c r="O22" s="9">
        <v>73.54667777777777</v>
      </c>
      <c r="P22" s="1">
        <v>0</v>
      </c>
      <c r="Q22" s="1">
        <v>39715206</v>
      </c>
      <c r="R22" s="58">
        <v>0</v>
      </c>
      <c r="S22" s="1"/>
    </row>
    <row r="23" spans="1:19" ht="30">
      <c r="A23" s="1"/>
      <c r="B23" s="136"/>
      <c r="C23" s="1" t="s">
        <v>93</v>
      </c>
      <c r="D23" s="1">
        <v>10</v>
      </c>
      <c r="E23" s="4" t="s">
        <v>72</v>
      </c>
      <c r="F23" s="27">
        <f t="shared" si="2"/>
        <v>1.2692142214224462</v>
      </c>
      <c r="G23" s="8">
        <f>M25</f>
        <v>89371213</v>
      </c>
      <c r="H23" s="8">
        <f t="shared" si="1"/>
        <v>91.88559855397733</v>
      </c>
      <c r="I23" s="8">
        <f>N25</f>
        <v>82119274</v>
      </c>
      <c r="L23" s="1" t="s">
        <v>53</v>
      </c>
      <c r="M23" s="8">
        <v>468468094</v>
      </c>
      <c r="N23" s="8">
        <v>354344830</v>
      </c>
      <c r="O23" s="9">
        <v>75.63905301947842</v>
      </c>
      <c r="P23" s="1">
        <v>0</v>
      </c>
      <c r="Q23" s="1">
        <v>354344830</v>
      </c>
      <c r="R23" s="58">
        <v>0</v>
      </c>
      <c r="S23" s="1"/>
    </row>
    <row r="24" spans="1:19" ht="30">
      <c r="A24" s="1"/>
      <c r="B24" s="136"/>
      <c r="C24" s="3" t="s">
        <v>94</v>
      </c>
      <c r="D24" s="1">
        <v>15</v>
      </c>
      <c r="E24" s="4" t="s">
        <v>74</v>
      </c>
      <c r="F24" s="27">
        <f t="shared" si="2"/>
        <v>1.8136972185434501</v>
      </c>
      <c r="G24" s="8">
        <f>M18</f>
        <v>127710766</v>
      </c>
      <c r="H24" s="8">
        <f t="shared" si="1"/>
        <v>78.34768840083537</v>
      </c>
      <c r="I24" s="8">
        <f>N18</f>
        <v>100058433</v>
      </c>
      <c r="L24" s="1" t="s">
        <v>36</v>
      </c>
      <c r="M24" s="8">
        <v>141486440</v>
      </c>
      <c r="N24" s="8">
        <v>130141339</v>
      </c>
      <c r="O24" s="9">
        <v>91.98149236068134</v>
      </c>
      <c r="P24" s="1">
        <v>5342071</v>
      </c>
      <c r="Q24" s="1">
        <v>63146960</v>
      </c>
      <c r="R24" s="58">
        <v>61652308</v>
      </c>
      <c r="S24" s="1"/>
    </row>
    <row r="25" spans="1:19" ht="15">
      <c r="A25" s="1"/>
      <c r="B25" s="137"/>
      <c r="C25" s="3" t="s">
        <v>95</v>
      </c>
      <c r="D25" s="1"/>
      <c r="E25" s="4" t="s">
        <v>73</v>
      </c>
      <c r="F25" s="27">
        <f t="shared" si="2"/>
        <v>0.29539964298748056</v>
      </c>
      <c r="G25" s="20">
        <f>M20</f>
        <v>20800448</v>
      </c>
      <c r="H25" s="8">
        <f t="shared" si="1"/>
        <v>76.09533217746079</v>
      </c>
      <c r="I25" s="20">
        <f>N20</f>
        <v>15828170</v>
      </c>
      <c r="L25" s="1" t="s">
        <v>10</v>
      </c>
      <c r="M25" s="8">
        <v>89371213</v>
      </c>
      <c r="N25" s="8">
        <v>82119274</v>
      </c>
      <c r="O25" s="9">
        <v>91.88559855397733</v>
      </c>
      <c r="P25" s="1">
        <v>16743950</v>
      </c>
      <c r="Q25" s="1">
        <v>65375324</v>
      </c>
      <c r="R25" s="58">
        <v>0</v>
      </c>
      <c r="S25" s="1"/>
    </row>
    <row r="26" spans="1:19" ht="15">
      <c r="A26" s="1"/>
      <c r="B26" s="28"/>
      <c r="C26" s="3"/>
      <c r="D26" s="1"/>
      <c r="E26" s="1"/>
      <c r="F26" s="1"/>
      <c r="G26" s="16">
        <f>SUM(G18:G25)</f>
        <v>4940992553</v>
      </c>
      <c r="H26" s="16">
        <f t="shared" si="1"/>
        <v>81.02475749673529</v>
      </c>
      <c r="I26" s="16">
        <f>SUM(I18:I25)</f>
        <v>4003427234</v>
      </c>
      <c r="L26" s="1" t="s">
        <v>37</v>
      </c>
      <c r="M26" s="8">
        <v>100515085</v>
      </c>
      <c r="N26" s="8">
        <v>51100871</v>
      </c>
      <c r="O26" s="9">
        <v>50.83900640386465</v>
      </c>
      <c r="P26" s="1">
        <v>22500000</v>
      </c>
      <c r="Q26" s="1">
        <v>28600870.5</v>
      </c>
      <c r="R26" s="58">
        <v>0</v>
      </c>
      <c r="S26" s="1"/>
    </row>
    <row r="27" spans="1:19" ht="15">
      <c r="A27" s="1"/>
      <c r="B27" s="28"/>
      <c r="C27" s="3"/>
      <c r="D27" s="1"/>
      <c r="E27" s="1"/>
      <c r="F27" s="1"/>
      <c r="G27" s="16"/>
      <c r="H27" s="8"/>
      <c r="I27" s="16"/>
      <c r="L27" s="1" t="s">
        <v>54</v>
      </c>
      <c r="M27" s="8">
        <v>52050774</v>
      </c>
      <c r="N27" s="8">
        <v>44968012</v>
      </c>
      <c r="O27" s="9">
        <v>86.39259043487039</v>
      </c>
      <c r="P27" s="1">
        <v>22092022</v>
      </c>
      <c r="Q27" s="1">
        <v>0</v>
      </c>
      <c r="R27" s="58">
        <v>22875990</v>
      </c>
      <c r="S27" s="1"/>
    </row>
    <row r="28" spans="1:19" ht="28.5" customHeight="1">
      <c r="A28" s="4" t="s">
        <v>15</v>
      </c>
      <c r="B28" s="135">
        <v>10</v>
      </c>
      <c r="C28" s="1" t="s">
        <v>86</v>
      </c>
      <c r="D28" s="1">
        <v>30</v>
      </c>
      <c r="E28" s="29" t="s">
        <v>75</v>
      </c>
      <c r="F28" s="27">
        <f>G28/$G$30*0.05</f>
        <v>0.038974229459996464</v>
      </c>
      <c r="G28" s="20">
        <v>3000000</v>
      </c>
      <c r="H28" s="8">
        <f t="shared" si="1"/>
        <v>0</v>
      </c>
      <c r="I28" s="20">
        <v>0</v>
      </c>
      <c r="L28" s="1" t="s">
        <v>11</v>
      </c>
      <c r="M28" s="8">
        <v>3752917667</v>
      </c>
      <c r="N28" s="8">
        <v>3002972956</v>
      </c>
      <c r="O28" s="9">
        <v>80.0170220201103</v>
      </c>
      <c r="P28" s="1">
        <v>0</v>
      </c>
      <c r="Q28" s="1">
        <v>1608628569</v>
      </c>
      <c r="R28" s="58">
        <v>1394344387</v>
      </c>
      <c r="S28" s="1"/>
    </row>
    <row r="29" spans="1:19" ht="45">
      <c r="A29" s="1"/>
      <c r="B29" s="137"/>
      <c r="C29" s="3" t="s">
        <v>87</v>
      </c>
      <c r="D29" s="1">
        <v>70</v>
      </c>
      <c r="E29" s="29" t="s">
        <v>76</v>
      </c>
      <c r="F29" s="27">
        <f>G29/$G$30*0.05</f>
        <v>0.011025770540003539</v>
      </c>
      <c r="G29" s="8">
        <f>M19</f>
        <v>848697</v>
      </c>
      <c r="H29" s="8">
        <f t="shared" si="1"/>
        <v>0</v>
      </c>
      <c r="I29" s="8">
        <f>N19</f>
        <v>0</v>
      </c>
      <c r="L29" s="1" t="s">
        <v>55</v>
      </c>
      <c r="M29" s="8">
        <v>184696588</v>
      </c>
      <c r="N29" s="8">
        <v>150273337</v>
      </c>
      <c r="O29" s="9">
        <v>81.36227021151035</v>
      </c>
      <c r="P29" s="1">
        <v>0</v>
      </c>
      <c r="Q29" s="1">
        <v>150273337</v>
      </c>
      <c r="R29" s="58">
        <v>0</v>
      </c>
      <c r="S29" s="1"/>
    </row>
    <row r="30" spans="1:19" ht="15">
      <c r="A30" s="1"/>
      <c r="B30" s="28"/>
      <c r="C30" s="3"/>
      <c r="D30" s="1"/>
      <c r="E30" s="1"/>
      <c r="F30" s="1"/>
      <c r="G30" s="16">
        <f>SUM(G28:G29)</f>
        <v>3848697</v>
      </c>
      <c r="H30" s="16">
        <f t="shared" si="1"/>
        <v>0</v>
      </c>
      <c r="I30" s="16">
        <f>SUM(I28:I29)</f>
        <v>0</v>
      </c>
      <c r="L30" s="1" t="s">
        <v>7</v>
      </c>
      <c r="M30" s="8">
        <v>2547339</v>
      </c>
      <c r="N30" s="8">
        <v>0</v>
      </c>
      <c r="O30" s="9">
        <v>0</v>
      </c>
      <c r="P30" s="1">
        <v>0</v>
      </c>
      <c r="Q30" s="1">
        <v>0</v>
      </c>
      <c r="R30" s="58">
        <v>0</v>
      </c>
      <c r="S30" s="1"/>
    </row>
    <row r="31" spans="1:19" ht="15">
      <c r="A31" s="1"/>
      <c r="B31" s="28"/>
      <c r="C31" s="3"/>
      <c r="D31" s="1"/>
      <c r="E31" s="1"/>
      <c r="F31" s="1"/>
      <c r="G31" s="1"/>
      <c r="H31" s="1"/>
      <c r="I31" s="1"/>
      <c r="L31" s="1" t="s">
        <v>25</v>
      </c>
      <c r="M31" s="8">
        <v>18750169</v>
      </c>
      <c r="N31" s="8">
        <v>18620524</v>
      </c>
      <c r="O31" s="9">
        <v>99.30856623212303</v>
      </c>
      <c r="P31" s="1">
        <v>0</v>
      </c>
      <c r="Q31" s="1">
        <v>18620524</v>
      </c>
      <c r="R31" s="58">
        <v>0</v>
      </c>
      <c r="S31" s="1"/>
    </row>
    <row r="32" spans="1:19" ht="30">
      <c r="A32" s="1" t="s">
        <v>14</v>
      </c>
      <c r="B32" s="135">
        <v>15</v>
      </c>
      <c r="C32" s="3" t="s">
        <v>81</v>
      </c>
      <c r="D32" s="1">
        <v>10</v>
      </c>
      <c r="E32" s="29" t="s">
        <v>79</v>
      </c>
      <c r="F32" s="27">
        <f>G32/G$37*7.28</f>
        <v>1.5067679513160381</v>
      </c>
      <c r="G32" s="20">
        <f>M15+M22+M27</f>
        <v>106050774</v>
      </c>
      <c r="H32" s="8">
        <f t="shared" si="1"/>
        <v>79.85157939535642</v>
      </c>
      <c r="I32" s="20">
        <f>N15+N22+N27</f>
        <v>84683218</v>
      </c>
      <c r="L32" s="24" t="s">
        <v>40</v>
      </c>
      <c r="M32" s="16">
        <v>7041553110</v>
      </c>
      <c r="N32" s="16">
        <f>SUM(N9:N31)</f>
        <v>5354226965</v>
      </c>
      <c r="O32" s="25">
        <v>76.03758546869783</v>
      </c>
      <c r="P32" s="24">
        <v>232402402</v>
      </c>
      <c r="Q32" s="24">
        <v>3308925930</v>
      </c>
      <c r="R32" s="59">
        <v>1812898632.3400002</v>
      </c>
      <c r="S32" s="1"/>
    </row>
    <row r="33" spans="1:19" ht="15">
      <c r="A33" s="1"/>
      <c r="B33" s="136"/>
      <c r="C33" s="3" t="s">
        <v>82</v>
      </c>
      <c r="D33" s="1">
        <v>2</v>
      </c>
      <c r="E33" s="29" t="s">
        <v>102</v>
      </c>
      <c r="F33" s="27">
        <f>G33/G$37*7.28</f>
        <v>0.45574891095345366</v>
      </c>
      <c r="G33" s="8">
        <f>M16</f>
        <v>32076953</v>
      </c>
      <c r="H33" s="8">
        <f t="shared" si="1"/>
        <v>77.24443153936721</v>
      </c>
      <c r="I33" s="8">
        <f>N16</f>
        <v>24777660</v>
      </c>
      <c r="S33" s="1"/>
    </row>
    <row r="34" spans="1:19" ht="30">
      <c r="A34" s="1"/>
      <c r="B34" s="136"/>
      <c r="C34" s="3" t="s">
        <v>83</v>
      </c>
      <c r="D34" s="1">
        <v>10</v>
      </c>
      <c r="E34" s="29" t="s">
        <v>80</v>
      </c>
      <c r="F34" s="27">
        <f>G34/G$37*7.28</f>
        <v>0.3389457227968502</v>
      </c>
      <c r="G34" s="8">
        <f>M14</f>
        <v>23856000</v>
      </c>
      <c r="H34" s="8">
        <f t="shared" si="1"/>
        <v>99.9832327297116</v>
      </c>
      <c r="I34" s="8">
        <f>N14</f>
        <v>23852000</v>
      </c>
      <c r="S34" s="1"/>
    </row>
    <row r="35" spans="1:19" ht="30">
      <c r="A35" s="21"/>
      <c r="B35" s="136"/>
      <c r="C35" s="3" t="s">
        <v>84</v>
      </c>
      <c r="D35" s="1">
        <v>40</v>
      </c>
      <c r="E35" s="29" t="s">
        <v>77</v>
      </c>
      <c r="F35" s="27">
        <f>G35/G$37*7.28</f>
        <v>2.3543708103992835</v>
      </c>
      <c r="G35" s="20">
        <f>M21</f>
        <v>165707564</v>
      </c>
      <c r="H35" s="8">
        <f t="shared" si="1"/>
        <v>59.111161033059425</v>
      </c>
      <c r="I35" s="20">
        <f>N21</f>
        <v>97951665</v>
      </c>
      <c r="S35" s="1"/>
    </row>
    <row r="36" spans="1:19" ht="60">
      <c r="A36" s="21"/>
      <c r="B36" s="137"/>
      <c r="C36" s="1" t="s">
        <v>85</v>
      </c>
      <c r="D36" s="1">
        <v>2</v>
      </c>
      <c r="E36" s="29" t="s">
        <v>78</v>
      </c>
      <c r="F36" s="27">
        <f>G36/G$37*7.28</f>
        <v>2.624166604534375</v>
      </c>
      <c r="G36" s="20">
        <f>M29</f>
        <v>184696588</v>
      </c>
      <c r="H36" s="8">
        <f t="shared" si="1"/>
        <v>81.36227021151035</v>
      </c>
      <c r="I36" s="20">
        <f>N29</f>
        <v>150273337</v>
      </c>
      <c r="S36" s="1"/>
    </row>
    <row r="37" spans="1:19" ht="15">
      <c r="A37" s="1"/>
      <c r="B37" s="28"/>
      <c r="C37" s="1"/>
      <c r="D37" s="1"/>
      <c r="E37" s="1"/>
      <c r="F37" s="27"/>
      <c r="G37" s="22">
        <f>SUM(G32:G36)</f>
        <v>512387879</v>
      </c>
      <c r="H37" s="16">
        <f t="shared" si="1"/>
        <v>74.46270601572915</v>
      </c>
      <c r="I37" s="22">
        <f>SUM(I32:I36)</f>
        <v>381537880</v>
      </c>
      <c r="S37" s="1"/>
    </row>
    <row r="38" spans="1:19" ht="15">
      <c r="A38" s="1"/>
      <c r="B38" s="28"/>
      <c r="C38" s="1"/>
      <c r="D38" s="1"/>
      <c r="E38" s="1"/>
      <c r="F38" s="1"/>
      <c r="G38" s="1"/>
      <c r="H38" s="1"/>
      <c r="I38" s="1"/>
      <c r="S38" s="1"/>
    </row>
    <row r="39" spans="1:19" ht="15">
      <c r="A39" s="1"/>
      <c r="B39" s="1"/>
      <c r="C39" s="1"/>
      <c r="D39" s="1"/>
      <c r="E39" s="1"/>
      <c r="F39" s="1"/>
      <c r="G39" s="22">
        <f>G15+G26+G30+G37</f>
        <v>7041553110</v>
      </c>
      <c r="H39" s="16">
        <f t="shared" si="1"/>
        <v>76.03758547807075</v>
      </c>
      <c r="I39" s="22">
        <f>I15+I26+I30+I37</f>
        <v>5354226965</v>
      </c>
      <c r="S39" s="1"/>
    </row>
    <row r="40" spans="1:19" ht="15">
      <c r="A40" s="1"/>
      <c r="B40" s="1"/>
      <c r="C40" s="1"/>
      <c r="D40" s="1"/>
      <c r="E40" s="1"/>
      <c r="F40" s="1"/>
      <c r="G40" s="1"/>
      <c r="H40" s="1"/>
      <c r="I40" s="1"/>
      <c r="S40" s="1"/>
    </row>
    <row r="42" ht="15">
      <c r="A42" t="str">
        <f>'año 2009'!A42</f>
        <v>MARIA JOSEFINA LOPEZ RAMIREZ</v>
      </c>
    </row>
    <row r="43" ht="15">
      <c r="A43" t="str">
        <f>'año 2009'!A43</f>
        <v>JEFE ASESORA  OFICINA DE PLANEACION (e)</v>
      </c>
    </row>
    <row r="44" spans="1:7" ht="15">
      <c r="A44" t="s">
        <v>133</v>
      </c>
      <c r="G44" s="32"/>
    </row>
    <row r="45" ht="15">
      <c r="A45" t="s">
        <v>108</v>
      </c>
    </row>
    <row r="46" spans="6:9" ht="15" hidden="1">
      <c r="F46">
        <v>17</v>
      </c>
      <c r="G46" s="26">
        <f>+G15/G50*100</f>
        <v>22.499638307776678</v>
      </c>
      <c r="I46" s="26">
        <f>+I15/I50*100</f>
        <v>18.102741204957493</v>
      </c>
    </row>
    <row r="47" spans="6:9" ht="15" hidden="1">
      <c r="F47">
        <v>28</v>
      </c>
      <c r="G47" s="26">
        <f>+G26/G50*100</f>
        <v>70.1690731549421</v>
      </c>
      <c r="I47" s="26">
        <f>+I26/I50*100</f>
        <v>74.77133973157973</v>
      </c>
    </row>
    <row r="48" spans="6:9" ht="15" hidden="1">
      <c r="F48">
        <v>32</v>
      </c>
      <c r="G48" s="26">
        <f>+G30/G50*100</f>
        <v>0.05465693349006069</v>
      </c>
      <c r="I48" s="26">
        <f>+I30/I50*100</f>
        <v>0</v>
      </c>
    </row>
    <row r="49" spans="6:9" ht="15" hidden="1">
      <c r="F49">
        <v>38</v>
      </c>
      <c r="G49" s="26">
        <f>+G37/G50*100</f>
        <v>7.27663160379117</v>
      </c>
      <c r="I49" s="26">
        <f>+I37/I50*100</f>
        <v>7.125919063462787</v>
      </c>
    </row>
    <row r="50" spans="7:9" ht="15" hidden="1">
      <c r="G50" s="22">
        <v>7041553110</v>
      </c>
      <c r="I50" s="22">
        <v>5354226965</v>
      </c>
    </row>
    <row r="51" ht="15" hidden="1"/>
    <row r="52" ht="15">
      <c r="A52" t="s">
        <v>127</v>
      </c>
    </row>
    <row r="53" spans="1:9" ht="15">
      <c r="A53" t="s">
        <v>128</v>
      </c>
      <c r="I53" s="18"/>
    </row>
  </sheetData>
  <sheetProtection/>
  <mergeCells count="7">
    <mergeCell ref="A1:I1"/>
    <mergeCell ref="A2:I2"/>
    <mergeCell ref="A3:I3"/>
    <mergeCell ref="B32:B36"/>
    <mergeCell ref="B28:B29"/>
    <mergeCell ref="B18:B25"/>
    <mergeCell ref="B8:B14"/>
  </mergeCells>
  <printOptions/>
  <pageMargins left="0.7086614173228347" right="1.1811023622047245" top="0.4724409448818898" bottom="0.4724409448818898" header="0.31496062992125984" footer="0.31496062992125984"/>
  <pageSetup horizontalDpi="300" verticalDpi="300"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zoomScalePageLayoutView="0" workbookViewId="0" topLeftCell="A29">
      <selection activeCell="C22" sqref="C22"/>
    </sheetView>
  </sheetViews>
  <sheetFormatPr defaultColWidth="11.421875" defaultRowHeight="15"/>
  <cols>
    <col min="1" max="1" width="42.28125" style="0" customWidth="1"/>
    <col min="3" max="3" width="40.57421875" style="0" customWidth="1"/>
    <col min="4" max="4" width="8.57421875" style="0" bestFit="1" customWidth="1"/>
    <col min="5" max="5" width="27.140625" style="0" customWidth="1"/>
    <col min="6" max="6" width="7.57421875" style="0" bestFit="1" customWidth="1"/>
    <col min="7" max="7" width="19.00390625" style="0" customWidth="1"/>
    <col min="8" max="8" width="9.00390625" style="0" bestFit="1" customWidth="1"/>
    <col min="9" max="9" width="18.57421875" style="0" customWidth="1"/>
    <col min="10" max="11" width="0" style="0" hidden="1" customWidth="1"/>
    <col min="12" max="12" width="27.28125" style="0" hidden="1" customWidth="1"/>
    <col min="13" max="13" width="18.421875" style="0" hidden="1" customWidth="1"/>
    <col min="14" max="14" width="19.140625" style="0" hidden="1" customWidth="1"/>
    <col min="15" max="15" width="0" style="0" hidden="1" customWidth="1"/>
    <col min="16" max="16" width="21.8515625" style="0" hidden="1" customWidth="1"/>
    <col min="17" max="17" width="20.421875" style="0" hidden="1" customWidth="1"/>
    <col min="18" max="18" width="21.8515625" style="0" hidden="1" customWidth="1"/>
  </cols>
  <sheetData>
    <row r="1" spans="1:9" ht="15">
      <c r="A1" s="138" t="s">
        <v>103</v>
      </c>
      <c r="B1" s="138"/>
      <c r="C1" s="138"/>
      <c r="D1" s="138"/>
      <c r="E1" s="138"/>
      <c r="F1" s="138"/>
      <c r="G1" s="138"/>
      <c r="H1" s="138"/>
      <c r="I1" s="138"/>
    </row>
    <row r="2" spans="1:9" ht="15">
      <c r="A2" s="138" t="s">
        <v>104</v>
      </c>
      <c r="B2" s="138"/>
      <c r="C2" s="138"/>
      <c r="D2" s="138"/>
      <c r="E2" s="138"/>
      <c r="F2" s="138"/>
      <c r="G2" s="138"/>
      <c r="H2" s="138"/>
      <c r="I2" s="138"/>
    </row>
    <row r="3" spans="1:9" ht="15">
      <c r="A3" s="138" t="s">
        <v>45</v>
      </c>
      <c r="B3" s="138"/>
      <c r="C3" s="138"/>
      <c r="D3" s="138"/>
      <c r="E3" s="138"/>
      <c r="F3" s="138"/>
      <c r="G3" s="138"/>
      <c r="H3" s="138"/>
      <c r="I3" s="138"/>
    </row>
    <row r="5" spans="1:9" s="31" customFormat="1" ht="15">
      <c r="A5" s="30" t="s">
        <v>0</v>
      </c>
      <c r="B5" s="30" t="s">
        <v>1</v>
      </c>
      <c r="C5" s="30" t="s">
        <v>2</v>
      </c>
      <c r="D5" s="30" t="s">
        <v>1</v>
      </c>
      <c r="E5" s="30" t="s">
        <v>41</v>
      </c>
      <c r="F5" s="30" t="s">
        <v>42</v>
      </c>
      <c r="G5" s="30" t="s">
        <v>4</v>
      </c>
      <c r="H5" s="30" t="s">
        <v>57</v>
      </c>
      <c r="I5" s="30" t="s">
        <v>5</v>
      </c>
    </row>
    <row r="6" ht="15" hidden="1"/>
    <row r="7" spans="1:18" ht="15" hidden="1">
      <c r="A7" s="1"/>
      <c r="B7" s="1"/>
      <c r="C7" s="1"/>
      <c r="D7" s="1"/>
      <c r="E7" s="1"/>
      <c r="F7" s="1"/>
      <c r="L7" s="148" t="s">
        <v>2</v>
      </c>
      <c r="M7" s="5"/>
      <c r="N7" s="149" t="s">
        <v>45</v>
      </c>
      <c r="O7" s="150"/>
      <c r="P7" s="150"/>
      <c r="Q7" s="150"/>
      <c r="R7" s="151"/>
    </row>
    <row r="8" spans="1:18" ht="30.75" customHeight="1">
      <c r="A8" s="1" t="s">
        <v>3</v>
      </c>
      <c r="B8" s="135">
        <v>24</v>
      </c>
      <c r="C8" s="1" t="s">
        <v>60</v>
      </c>
      <c r="D8" s="1">
        <v>40</v>
      </c>
      <c r="E8" s="4" t="s">
        <v>62</v>
      </c>
      <c r="F8" s="27">
        <f>G8/$G$15*17.48</f>
        <v>8.035227933854868</v>
      </c>
      <c r="G8" s="8">
        <f>M11+M24</f>
        <v>547580526</v>
      </c>
      <c r="H8" s="8">
        <f>I8/G8*100</f>
        <v>90.29858870474148</v>
      </c>
      <c r="I8" s="8">
        <f>N11+N24</f>
        <v>494457487</v>
      </c>
      <c r="L8" s="148"/>
      <c r="M8" s="6" t="s">
        <v>18</v>
      </c>
      <c r="N8" s="7" t="s">
        <v>5</v>
      </c>
      <c r="O8" s="7" t="s">
        <v>19</v>
      </c>
      <c r="P8" s="7" t="s">
        <v>20</v>
      </c>
      <c r="Q8" s="7" t="s">
        <v>21</v>
      </c>
      <c r="R8" s="7" t="s">
        <v>22</v>
      </c>
    </row>
    <row r="9" spans="1:18" ht="45">
      <c r="A9" s="1"/>
      <c r="B9" s="136"/>
      <c r="C9" s="3" t="s">
        <v>97</v>
      </c>
      <c r="D9" s="1">
        <v>5</v>
      </c>
      <c r="E9" s="72" t="s">
        <v>59</v>
      </c>
      <c r="F9" s="27">
        <f aca="true" t="shared" si="0" ref="F9:F14">G9/$G$15*17.48</f>
        <v>0.6070953272781117</v>
      </c>
      <c r="G9" s="8">
        <f>M12</f>
        <v>41372016</v>
      </c>
      <c r="H9" s="8">
        <f aca="true" t="shared" si="1" ref="H9:H39">I9/G9*100</f>
        <v>96.13103214501318</v>
      </c>
      <c r="I9" s="8">
        <f>N12</f>
        <v>39771346</v>
      </c>
      <c r="L9" s="1" t="s">
        <v>23</v>
      </c>
      <c r="M9" s="8">
        <v>92525744</v>
      </c>
      <c r="N9" s="8">
        <v>73880624</v>
      </c>
      <c r="O9" s="9">
        <f>N9*100/N31</f>
        <v>1.3807415946331485</v>
      </c>
      <c r="P9" s="8">
        <v>40733744</v>
      </c>
      <c r="Q9" s="8">
        <v>0</v>
      </c>
      <c r="R9" s="8">
        <v>33146880</v>
      </c>
    </row>
    <row r="10" spans="1:18" ht="75">
      <c r="A10" s="1"/>
      <c r="B10" s="136"/>
      <c r="C10" s="2" t="s">
        <v>96</v>
      </c>
      <c r="D10" s="1">
        <v>9</v>
      </c>
      <c r="E10" s="72" t="s">
        <v>61</v>
      </c>
      <c r="F10" s="27">
        <f t="shared" si="0"/>
        <v>0</v>
      </c>
      <c r="G10" s="8">
        <v>0</v>
      </c>
      <c r="H10" s="8">
        <v>0</v>
      </c>
      <c r="I10" s="8">
        <v>0</v>
      </c>
      <c r="J10" s="18" t="s">
        <v>43</v>
      </c>
      <c r="L10" s="1" t="s">
        <v>12</v>
      </c>
      <c r="M10" s="8">
        <v>885438883</v>
      </c>
      <c r="N10" s="8">
        <v>617118676</v>
      </c>
      <c r="O10" s="9">
        <f>N10*100/N31</f>
        <v>11.533219112742433</v>
      </c>
      <c r="P10" s="8">
        <v>337868676</v>
      </c>
      <c r="Q10" s="8">
        <v>0</v>
      </c>
      <c r="R10" s="8">
        <v>279250000</v>
      </c>
    </row>
    <row r="11" spans="1:18" ht="30">
      <c r="A11" s="1"/>
      <c r="B11" s="136"/>
      <c r="C11" s="19" t="s">
        <v>98</v>
      </c>
      <c r="D11" s="19">
        <v>4</v>
      </c>
      <c r="E11" s="72" t="s">
        <v>63</v>
      </c>
      <c r="F11" s="27">
        <f t="shared" si="0"/>
        <v>7.296552713291889</v>
      </c>
      <c r="G11" s="8">
        <f>M14-82000000</f>
        <v>497241672</v>
      </c>
      <c r="H11" s="8">
        <f t="shared" si="1"/>
        <v>66.1775469615105</v>
      </c>
      <c r="I11" s="8">
        <f>N14-63610212</f>
        <v>329062341</v>
      </c>
      <c r="L11" s="1" t="s">
        <v>24</v>
      </c>
      <c r="M11" s="8">
        <v>142580526</v>
      </c>
      <c r="N11" s="8">
        <v>89457487</v>
      </c>
      <c r="O11" s="9">
        <f>N11*100/N31</f>
        <v>1.6718547646843664</v>
      </c>
      <c r="P11" s="8">
        <v>89457487</v>
      </c>
      <c r="Q11" s="8">
        <v>0</v>
      </c>
      <c r="R11" s="8">
        <v>0</v>
      </c>
    </row>
    <row r="12" spans="1:18" ht="60">
      <c r="A12" s="1"/>
      <c r="B12" s="136"/>
      <c r="C12" s="2" t="s">
        <v>99</v>
      </c>
      <c r="D12" s="1">
        <v>22</v>
      </c>
      <c r="E12" s="72" t="s">
        <v>64</v>
      </c>
      <c r="F12" s="27">
        <f t="shared" si="0"/>
        <v>1.3929219179626335</v>
      </c>
      <c r="G12" s="8">
        <f>M13</f>
        <v>94924117</v>
      </c>
      <c r="H12" s="8">
        <f t="shared" si="1"/>
        <v>91.92441474067122</v>
      </c>
      <c r="I12" s="8">
        <f>N13</f>
        <v>87258439</v>
      </c>
      <c r="L12" s="1" t="s">
        <v>25</v>
      </c>
      <c r="M12" s="8">
        <v>41372016</v>
      </c>
      <c r="N12" s="8">
        <v>39771346</v>
      </c>
      <c r="O12" s="9">
        <f>N12*100/N31</f>
        <v>0.7432794787540871</v>
      </c>
      <c r="P12" s="8">
        <v>31999999</v>
      </c>
      <c r="Q12" s="8">
        <v>7519163</v>
      </c>
      <c r="R12" s="8">
        <v>252184</v>
      </c>
    </row>
    <row r="13" spans="1:18" ht="45">
      <c r="A13" s="1"/>
      <c r="B13" s="136"/>
      <c r="C13" s="2" t="s">
        <v>100</v>
      </c>
      <c r="D13" s="1">
        <v>8</v>
      </c>
      <c r="E13" s="72" t="s">
        <v>65</v>
      </c>
      <c r="F13" s="27">
        <f t="shared" si="0"/>
        <v>0</v>
      </c>
      <c r="G13" s="8">
        <v>0</v>
      </c>
      <c r="H13" s="8"/>
      <c r="I13" s="8">
        <v>0</v>
      </c>
      <c r="L13" s="1" t="s">
        <v>8</v>
      </c>
      <c r="M13" s="8">
        <v>94924117</v>
      </c>
      <c r="N13" s="8">
        <v>87258439</v>
      </c>
      <c r="O13" s="9">
        <f>N13*100/N31</f>
        <v>1.630757155083846</v>
      </c>
      <c r="P13" s="8">
        <v>82584273</v>
      </c>
      <c r="Q13" s="8">
        <v>4674166</v>
      </c>
      <c r="R13" s="8">
        <v>0</v>
      </c>
    </row>
    <row r="14" spans="1:18" ht="45">
      <c r="A14" s="1"/>
      <c r="B14" s="137"/>
      <c r="C14" s="2" t="s">
        <v>101</v>
      </c>
      <c r="D14" s="1">
        <v>12</v>
      </c>
      <c r="E14" s="72" t="s">
        <v>66</v>
      </c>
      <c r="F14" s="27">
        <f t="shared" si="0"/>
        <v>0.14820210761249866</v>
      </c>
      <c r="G14" s="8">
        <f>M18</f>
        <v>10099600</v>
      </c>
      <c r="H14" s="8">
        <f t="shared" si="1"/>
        <v>100</v>
      </c>
      <c r="I14" s="8">
        <f>N18</f>
        <v>10099600</v>
      </c>
      <c r="L14" s="1" t="s">
        <v>13</v>
      </c>
      <c r="M14" s="8">
        <v>579241672</v>
      </c>
      <c r="N14" s="8">
        <v>392672553</v>
      </c>
      <c r="O14" s="9">
        <f>N14*100/N31</f>
        <v>7.338586190039346</v>
      </c>
      <c r="P14" s="8">
        <v>110031659</v>
      </c>
      <c r="Q14" s="8">
        <v>33526525</v>
      </c>
      <c r="R14" s="8">
        <v>249114369</v>
      </c>
    </row>
    <row r="15" spans="1:18" ht="15">
      <c r="A15" s="1"/>
      <c r="B15" s="1"/>
      <c r="C15" s="2"/>
      <c r="D15" s="1"/>
      <c r="E15" s="1"/>
      <c r="F15" s="1"/>
      <c r="G15" s="23">
        <f>SUM(G8:G14)</f>
        <v>1191217931</v>
      </c>
      <c r="H15" s="16">
        <f t="shared" si="1"/>
        <v>80.64428749771733</v>
      </c>
      <c r="I15" s="23">
        <f>SUM(I8:I14)</f>
        <v>960649213</v>
      </c>
      <c r="L15" s="1" t="s">
        <v>26</v>
      </c>
      <c r="M15" s="8">
        <v>109385824</v>
      </c>
      <c r="N15" s="8">
        <v>13500000</v>
      </c>
      <c r="O15" s="9">
        <f>N15*100/N31</f>
        <v>0.2522990537755543</v>
      </c>
      <c r="P15" s="8">
        <v>8500000</v>
      </c>
      <c r="Q15" s="8">
        <v>5000000</v>
      </c>
      <c r="R15" s="8">
        <v>0</v>
      </c>
    </row>
    <row r="16" spans="1:18" ht="15" hidden="1">
      <c r="A16" s="1"/>
      <c r="B16" s="1"/>
      <c r="C16" s="2"/>
      <c r="D16" s="1"/>
      <c r="E16" s="1"/>
      <c r="F16" s="1"/>
      <c r="G16" s="8"/>
      <c r="H16" s="8" t="e">
        <f t="shared" si="1"/>
        <v>#DIV/0!</v>
      </c>
      <c r="I16" s="8"/>
      <c r="L16" s="1" t="s">
        <v>27</v>
      </c>
      <c r="M16" s="8">
        <v>9000000</v>
      </c>
      <c r="N16" s="8">
        <v>9000000</v>
      </c>
      <c r="O16" s="9">
        <f>N16*100/N31</f>
        <v>0.16819936918370285</v>
      </c>
      <c r="P16" s="8">
        <v>9000000</v>
      </c>
      <c r="Q16" s="8">
        <v>0</v>
      </c>
      <c r="R16" s="8">
        <v>0</v>
      </c>
    </row>
    <row r="17" spans="1:18" ht="15">
      <c r="A17" s="1"/>
      <c r="B17" s="1"/>
      <c r="C17" s="2"/>
      <c r="D17" s="1"/>
      <c r="E17" s="1"/>
      <c r="F17" s="1"/>
      <c r="G17" s="8"/>
      <c r="H17" s="8"/>
      <c r="I17" s="8"/>
      <c r="L17" s="1" t="s">
        <v>28</v>
      </c>
      <c r="M17" s="8">
        <v>31000000</v>
      </c>
      <c r="N17" s="8">
        <v>15000000</v>
      </c>
      <c r="O17" s="9">
        <f>N17*100/N31</f>
        <v>0.28033228197283805</v>
      </c>
      <c r="P17" s="8">
        <v>15000000</v>
      </c>
      <c r="Q17" s="8">
        <v>0</v>
      </c>
      <c r="R17" s="8">
        <v>0</v>
      </c>
    </row>
    <row r="18" spans="1:18" ht="30">
      <c r="A18" s="1" t="s">
        <v>9</v>
      </c>
      <c r="B18" s="135">
        <v>51</v>
      </c>
      <c r="C18" s="3" t="s">
        <v>88</v>
      </c>
      <c r="D18" s="1">
        <v>24</v>
      </c>
      <c r="E18" s="72" t="s">
        <v>67</v>
      </c>
      <c r="F18" s="27">
        <f>G18/$G$26*71.09</f>
        <v>12.993132349356024</v>
      </c>
      <c r="G18" s="8">
        <f>M10</f>
        <v>885438883</v>
      </c>
      <c r="H18" s="8">
        <f t="shared" si="1"/>
        <v>69.6963605109716</v>
      </c>
      <c r="I18" s="8">
        <f>N10</f>
        <v>617118676</v>
      </c>
      <c r="L18" s="1" t="s">
        <v>29</v>
      </c>
      <c r="M18" s="8">
        <v>10099600</v>
      </c>
      <c r="N18" s="8">
        <v>10099600</v>
      </c>
      <c r="O18" s="9">
        <f>N18*100/N31</f>
        <v>0.1887495943341917</v>
      </c>
      <c r="P18" s="8">
        <v>0</v>
      </c>
      <c r="Q18" s="8">
        <v>10099600</v>
      </c>
      <c r="R18" s="8">
        <v>0</v>
      </c>
    </row>
    <row r="19" spans="1:18" ht="15">
      <c r="A19" s="1"/>
      <c r="B19" s="136"/>
      <c r="C19" s="3" t="s">
        <v>89</v>
      </c>
      <c r="D19" s="1">
        <v>4</v>
      </c>
      <c r="E19" s="1" t="s">
        <v>68</v>
      </c>
      <c r="F19" s="27">
        <f aca="true" t="shared" si="2" ref="F19:F24">G19/$G$26*71.09</f>
        <v>1.3577438946902833</v>
      </c>
      <c r="G19" s="8">
        <f>M9</f>
        <v>92525744</v>
      </c>
      <c r="H19" s="8">
        <f t="shared" si="1"/>
        <v>79.84872188652706</v>
      </c>
      <c r="I19" s="8">
        <f>N9</f>
        <v>73880624</v>
      </c>
      <c r="L19" s="1" t="s">
        <v>30</v>
      </c>
      <c r="M19" s="8">
        <v>303368420</v>
      </c>
      <c r="N19" s="8">
        <v>249825257</v>
      </c>
      <c r="O19" s="9">
        <f>N19*100/N31</f>
        <v>4.668938959284049</v>
      </c>
      <c r="P19" s="8">
        <v>205522257</v>
      </c>
      <c r="Q19" s="8">
        <v>23500000</v>
      </c>
      <c r="R19" s="8">
        <v>20803000</v>
      </c>
    </row>
    <row r="20" spans="1:18" ht="45">
      <c r="A20" s="1"/>
      <c r="B20" s="136"/>
      <c r="C20" s="3" t="s">
        <v>90</v>
      </c>
      <c r="D20" s="1">
        <v>30</v>
      </c>
      <c r="E20" s="72" t="s">
        <v>69</v>
      </c>
      <c r="F20" s="27">
        <f t="shared" si="2"/>
        <v>46.4785472018377</v>
      </c>
      <c r="G20" s="8">
        <f>M29</f>
        <v>3167358864</v>
      </c>
      <c r="H20" s="8">
        <f t="shared" si="1"/>
        <v>81.76467988630164</v>
      </c>
      <c r="I20" s="8">
        <f>N29</f>
        <v>2589780836</v>
      </c>
      <c r="L20" s="1" t="s">
        <v>31</v>
      </c>
      <c r="M20" s="8">
        <v>72424613</v>
      </c>
      <c r="N20" s="8">
        <v>45353778</v>
      </c>
      <c r="O20" s="9">
        <f>N20*100/N31</f>
        <v>0.8476085388553</v>
      </c>
      <c r="P20" s="8">
        <v>9999981</v>
      </c>
      <c r="Q20" s="8">
        <v>35353797</v>
      </c>
      <c r="R20" s="8">
        <v>0</v>
      </c>
    </row>
    <row r="21" spans="1:18" ht="75">
      <c r="A21" s="1"/>
      <c r="B21" s="136"/>
      <c r="C21" s="1" t="s">
        <v>91</v>
      </c>
      <c r="D21" s="1">
        <v>7</v>
      </c>
      <c r="E21" s="72" t="s">
        <v>70</v>
      </c>
      <c r="F21" s="27">
        <f t="shared" si="2"/>
        <v>2.2599661377556393</v>
      </c>
      <c r="G21" s="8">
        <f>M27</f>
        <v>154009198</v>
      </c>
      <c r="H21" s="8">
        <f t="shared" si="1"/>
        <v>47.93745630699278</v>
      </c>
      <c r="I21" s="8">
        <f>N27</f>
        <v>73828092</v>
      </c>
      <c r="L21" s="1" t="s">
        <v>32</v>
      </c>
      <c r="M21" s="8">
        <v>2000000</v>
      </c>
      <c r="N21" s="8">
        <v>2000000</v>
      </c>
      <c r="O21" s="9">
        <f>N21*100/N31</f>
        <v>0.03737763759637841</v>
      </c>
      <c r="P21" s="8">
        <v>0</v>
      </c>
      <c r="Q21" s="8">
        <v>2000000</v>
      </c>
      <c r="R21" s="8">
        <v>0</v>
      </c>
    </row>
    <row r="22" spans="1:18" ht="30">
      <c r="A22" s="1"/>
      <c r="B22" s="136"/>
      <c r="C22" s="3" t="s">
        <v>92</v>
      </c>
      <c r="D22" s="1">
        <v>10</v>
      </c>
      <c r="E22" s="72" t="s">
        <v>71</v>
      </c>
      <c r="F22" s="27">
        <f t="shared" si="2"/>
        <v>1.5245649980874851</v>
      </c>
      <c r="G22" s="8">
        <f>M25</f>
        <v>103894049</v>
      </c>
      <c r="H22" s="8">
        <f t="shared" si="1"/>
        <v>73.63478248884111</v>
      </c>
      <c r="I22" s="8">
        <f>N25</f>
        <v>76502157</v>
      </c>
      <c r="L22" s="1" t="s">
        <v>33</v>
      </c>
      <c r="M22" s="8">
        <v>181726592</v>
      </c>
      <c r="N22" s="8">
        <v>165612891</v>
      </c>
      <c r="O22" s="9">
        <f>N22*100/N31</f>
        <v>3.09510931054326</v>
      </c>
      <c r="P22" s="8">
        <v>84968420</v>
      </c>
      <c r="Q22" s="8">
        <v>62669651</v>
      </c>
      <c r="R22" s="8">
        <v>17974820</v>
      </c>
    </row>
    <row r="23" spans="1:18" ht="45">
      <c r="A23" s="1"/>
      <c r="B23" s="136"/>
      <c r="C23" s="1" t="s">
        <v>93</v>
      </c>
      <c r="D23" s="1">
        <v>10</v>
      </c>
      <c r="E23" s="72" t="s">
        <v>72</v>
      </c>
      <c r="F23" s="27">
        <f t="shared" si="2"/>
        <v>1.9949994956784158</v>
      </c>
      <c r="G23" s="8">
        <f>+M26</f>
        <v>135952600</v>
      </c>
      <c r="H23" s="8">
        <f t="shared" si="1"/>
        <v>93.61829049242162</v>
      </c>
      <c r="I23" s="8">
        <f>+N26</f>
        <v>127276500</v>
      </c>
      <c r="L23" s="1" t="s">
        <v>34</v>
      </c>
      <c r="M23" s="8">
        <v>71901563</v>
      </c>
      <c r="N23" s="8">
        <v>55758438</v>
      </c>
      <c r="O23" s="9">
        <f>N23*100/N31</f>
        <v>1.0420593442520674</v>
      </c>
      <c r="P23" s="8">
        <v>43316042</v>
      </c>
      <c r="Q23" s="8">
        <v>12442396</v>
      </c>
      <c r="R23" s="8">
        <v>0</v>
      </c>
    </row>
    <row r="24" spans="1:18" ht="30">
      <c r="A24" s="1"/>
      <c r="B24" s="136"/>
      <c r="C24" s="3" t="s">
        <v>94</v>
      </c>
      <c r="D24" s="1">
        <v>15</v>
      </c>
      <c r="E24" s="72" t="s">
        <v>74</v>
      </c>
      <c r="F24" s="27">
        <f t="shared" si="2"/>
        <v>4.451697465916488</v>
      </c>
      <c r="G24" s="8">
        <f>M19</f>
        <v>303368420</v>
      </c>
      <c r="H24" s="8">
        <f t="shared" si="1"/>
        <v>82.35044933154215</v>
      </c>
      <c r="I24" s="8">
        <f>N19</f>
        <v>249825257</v>
      </c>
      <c r="L24" s="1" t="s">
        <v>35</v>
      </c>
      <c r="M24" s="8">
        <v>405000000</v>
      </c>
      <c r="N24" s="8">
        <v>405000000</v>
      </c>
      <c r="O24" s="9">
        <f>N24*100/N31</f>
        <v>7.568971613266628</v>
      </c>
      <c r="P24" s="8">
        <v>334946508</v>
      </c>
      <c r="Q24" s="8">
        <v>70053492</v>
      </c>
      <c r="R24" s="8">
        <v>0</v>
      </c>
    </row>
    <row r="25" spans="1:18" ht="30">
      <c r="A25" s="1"/>
      <c r="B25" s="137"/>
      <c r="C25" s="3" t="s">
        <v>95</v>
      </c>
      <c r="D25" s="1"/>
      <c r="E25" s="72" t="s">
        <v>73</v>
      </c>
      <c r="F25" s="1"/>
      <c r="G25" s="20">
        <f>M21</f>
        <v>2000000</v>
      </c>
      <c r="H25" s="8">
        <f t="shared" si="1"/>
        <v>100</v>
      </c>
      <c r="I25" s="20">
        <f>N21</f>
        <v>2000000</v>
      </c>
      <c r="L25" s="1" t="s">
        <v>36</v>
      </c>
      <c r="M25" s="8">
        <v>103894049</v>
      </c>
      <c r="N25" s="8">
        <v>76502157</v>
      </c>
      <c r="O25" s="9">
        <f>N25*100/N31</f>
        <v>1.4297349498436218</v>
      </c>
      <c r="P25" s="8">
        <v>67287544</v>
      </c>
      <c r="Q25" s="8">
        <v>0</v>
      </c>
      <c r="R25" s="8">
        <v>9214613</v>
      </c>
    </row>
    <row r="26" spans="1:18" ht="15">
      <c r="A26" s="1"/>
      <c r="B26" s="1"/>
      <c r="C26" s="3"/>
      <c r="D26" s="1"/>
      <c r="E26" s="1"/>
      <c r="F26" s="1"/>
      <c r="G26" s="16">
        <f>SUM(G18:G25)</f>
        <v>4844547758</v>
      </c>
      <c r="H26" s="16">
        <f t="shared" si="1"/>
        <v>78.64949077461443</v>
      </c>
      <c r="I26" s="16">
        <f>SUM(I18:I25)</f>
        <v>3810212142</v>
      </c>
      <c r="L26" s="1" t="s">
        <v>10</v>
      </c>
      <c r="M26" s="8">
        <v>135952600</v>
      </c>
      <c r="N26" s="8">
        <v>127276500</v>
      </c>
      <c r="O26" s="9">
        <f>N26*100/N31</f>
        <v>2.3786474457677285</v>
      </c>
      <c r="P26" s="8">
        <v>94422995</v>
      </c>
      <c r="Q26" s="8">
        <v>9988073</v>
      </c>
      <c r="R26" s="8">
        <v>22865432</v>
      </c>
    </row>
    <row r="27" spans="1:18" ht="15">
      <c r="A27" s="1"/>
      <c r="B27" s="1"/>
      <c r="C27" s="3"/>
      <c r="D27" s="1"/>
      <c r="E27" s="1"/>
      <c r="F27" s="1"/>
      <c r="G27" s="16"/>
      <c r="H27" s="8"/>
      <c r="I27" s="16"/>
      <c r="L27" s="1" t="s">
        <v>37</v>
      </c>
      <c r="M27" s="8">
        <v>154009198</v>
      </c>
      <c r="N27" s="8">
        <v>73828092</v>
      </c>
      <c r="O27" s="9">
        <f>N27*100/N31</f>
        <v>1.379759833604042</v>
      </c>
      <c r="P27" s="8">
        <v>42297792</v>
      </c>
      <c r="Q27" s="8">
        <v>3222144</v>
      </c>
      <c r="R27" s="8">
        <v>28308156</v>
      </c>
    </row>
    <row r="28" spans="1:18" ht="30" customHeight="1">
      <c r="A28" s="4" t="s">
        <v>15</v>
      </c>
      <c r="B28" s="135">
        <v>10</v>
      </c>
      <c r="C28" s="1" t="s">
        <v>86</v>
      </c>
      <c r="D28" s="1">
        <v>30</v>
      </c>
      <c r="E28" s="29" t="s">
        <v>75</v>
      </c>
      <c r="F28" s="27">
        <f>G28/$G$30*2.27</f>
        <v>1.2053777981622658</v>
      </c>
      <c r="G28" s="20">
        <v>82000000</v>
      </c>
      <c r="H28" s="8">
        <f t="shared" si="1"/>
        <v>77.57342926829268</v>
      </c>
      <c r="I28" s="20">
        <v>63610212</v>
      </c>
      <c r="L28" s="1" t="s">
        <v>38</v>
      </c>
      <c r="M28" s="8">
        <v>45472987</v>
      </c>
      <c r="N28" s="8">
        <v>36396150</v>
      </c>
      <c r="O28" s="9">
        <f>N28*100/N31</f>
        <v>0.680201052301714</v>
      </c>
      <c r="P28" s="8">
        <v>4931670</v>
      </c>
      <c r="Q28" s="8">
        <v>6000000</v>
      </c>
      <c r="R28" s="8">
        <v>25464480</v>
      </c>
    </row>
    <row r="29" spans="1:18" ht="45">
      <c r="A29" s="1"/>
      <c r="B29" s="137"/>
      <c r="C29" s="3" t="s">
        <v>87</v>
      </c>
      <c r="D29" s="1">
        <v>70</v>
      </c>
      <c r="E29" s="72" t="s">
        <v>76</v>
      </c>
      <c r="F29" s="27">
        <f>G29/$G$30*2.27</f>
        <v>1.0646222018377343</v>
      </c>
      <c r="G29" s="8">
        <f>M20</f>
        <v>72424613</v>
      </c>
      <c r="H29" s="8">
        <f t="shared" si="1"/>
        <v>62.62205087654387</v>
      </c>
      <c r="I29" s="8">
        <f>N20</f>
        <v>45353778</v>
      </c>
      <c r="L29" s="1" t="s">
        <v>11</v>
      </c>
      <c r="M29" s="8">
        <v>3167358864</v>
      </c>
      <c r="N29" s="8">
        <v>2589780836</v>
      </c>
      <c r="O29" s="9">
        <f>N29*100/N31</f>
        <v>48.39994477102695</v>
      </c>
      <c r="P29" s="8">
        <v>1600137681</v>
      </c>
      <c r="Q29" s="8">
        <v>0</v>
      </c>
      <c r="R29" s="8">
        <v>989643155</v>
      </c>
    </row>
    <row r="30" spans="1:18" ht="15">
      <c r="A30" s="1"/>
      <c r="B30" s="1"/>
      <c r="C30" s="3"/>
      <c r="D30" s="1"/>
      <c r="E30" s="1"/>
      <c r="F30" s="1"/>
      <c r="G30" s="16">
        <f>SUM(G28:G29)</f>
        <v>154424613</v>
      </c>
      <c r="H30" s="16">
        <f t="shared" si="1"/>
        <v>70.5612841652386</v>
      </c>
      <c r="I30" s="16">
        <f>SUM(I28:I29)</f>
        <v>108963990</v>
      </c>
      <c r="L30" s="1" t="s">
        <v>39</v>
      </c>
      <c r="M30" s="8">
        <v>175839956</v>
      </c>
      <c r="N30" s="8">
        <v>175700133</v>
      </c>
      <c r="O30" s="9">
        <f>N30*100/N31</f>
        <v>3.2836279484547433</v>
      </c>
      <c r="P30" s="8">
        <v>175700133</v>
      </c>
      <c r="Q30" s="8">
        <v>0</v>
      </c>
      <c r="R30" s="8">
        <v>0</v>
      </c>
    </row>
    <row r="31" spans="1:18" ht="15">
      <c r="A31" s="1"/>
      <c r="B31" s="1"/>
      <c r="C31" s="3"/>
      <c r="D31" s="1"/>
      <c r="E31" s="1"/>
      <c r="F31" s="1"/>
      <c r="G31" s="1"/>
      <c r="H31" s="8"/>
      <c r="I31" s="1"/>
      <c r="L31" s="10" t="s">
        <v>40</v>
      </c>
      <c r="M31" s="12">
        <f aca="true" t="shared" si="3" ref="M31:R31">SUM(M9:M30)</f>
        <v>6814517224</v>
      </c>
      <c r="N31" s="12">
        <f t="shared" si="3"/>
        <v>5350792957</v>
      </c>
      <c r="O31" s="13">
        <f t="shared" si="3"/>
        <v>100</v>
      </c>
      <c r="P31" s="13">
        <f t="shared" si="3"/>
        <v>3388706861</v>
      </c>
      <c r="Q31" s="13">
        <f t="shared" si="3"/>
        <v>286049007</v>
      </c>
      <c r="R31" s="13">
        <f t="shared" si="3"/>
        <v>1676037089</v>
      </c>
    </row>
    <row r="32" spans="1:9" ht="45">
      <c r="A32" s="1" t="s">
        <v>14</v>
      </c>
      <c r="B32" s="135">
        <v>15</v>
      </c>
      <c r="C32" s="3" t="s">
        <v>81</v>
      </c>
      <c r="D32" s="1">
        <v>10</v>
      </c>
      <c r="E32" s="72" t="s">
        <v>79</v>
      </c>
      <c r="F32" s="27">
        <f>G32/$G$37*9.16</f>
        <v>1.854142176492591</v>
      </c>
      <c r="G32" s="20">
        <f>M23+M28+M16</f>
        <v>126374550</v>
      </c>
      <c r="H32" s="8">
        <f t="shared" si="1"/>
        <v>80.04348027352026</v>
      </c>
      <c r="I32" s="20">
        <f>N23+N28+N16</f>
        <v>101154588</v>
      </c>
    </row>
    <row r="33" spans="1:9" ht="30">
      <c r="A33" s="1"/>
      <c r="B33" s="136"/>
      <c r="C33" s="3" t="s">
        <v>82</v>
      </c>
      <c r="D33" s="1">
        <v>10</v>
      </c>
      <c r="E33" s="72" t="s">
        <v>102</v>
      </c>
      <c r="F33" s="27">
        <f>G33/$G$37*9.16</f>
        <v>0.454825813197913</v>
      </c>
      <c r="G33" s="8">
        <f>M17</f>
        <v>31000000</v>
      </c>
      <c r="H33" s="8">
        <f t="shared" si="1"/>
        <v>48.38709677419355</v>
      </c>
      <c r="I33" s="8">
        <f>N17</f>
        <v>15000000</v>
      </c>
    </row>
    <row r="34" spans="1:9" ht="45">
      <c r="A34" s="1"/>
      <c r="B34" s="136"/>
      <c r="C34" s="3" t="s">
        <v>83</v>
      </c>
      <c r="D34" s="1">
        <v>10</v>
      </c>
      <c r="E34" s="72" t="s">
        <v>80</v>
      </c>
      <c r="F34" s="27">
        <f>G34/$G$37*9.16</f>
        <v>1.6048869791330254</v>
      </c>
      <c r="G34" s="8">
        <f>M15</f>
        <v>109385824</v>
      </c>
      <c r="H34" s="8">
        <f t="shared" si="1"/>
        <v>12.34163578637027</v>
      </c>
      <c r="I34" s="8">
        <f>N15</f>
        <v>13500000</v>
      </c>
    </row>
    <row r="35" spans="1:9" ht="45">
      <c r="A35" s="21"/>
      <c r="B35" s="136"/>
      <c r="C35" s="3" t="s">
        <v>84</v>
      </c>
      <c r="D35" s="1">
        <v>40</v>
      </c>
      <c r="E35" s="72" t="s">
        <v>77</v>
      </c>
      <c r="F35" s="27">
        <f>G35/$G$37*9.16</f>
        <v>2.666256289873721</v>
      </c>
      <c r="G35" s="20">
        <f>M22</f>
        <v>181726592</v>
      </c>
      <c r="H35" s="8">
        <f t="shared" si="1"/>
        <v>91.13299775081899</v>
      </c>
      <c r="I35" s="20">
        <f>N22</f>
        <v>165612891</v>
      </c>
    </row>
    <row r="36" spans="1:9" ht="72.75" customHeight="1">
      <c r="A36" s="21"/>
      <c r="B36" s="137"/>
      <c r="C36" s="1" t="s">
        <v>85</v>
      </c>
      <c r="D36" s="1">
        <v>20</v>
      </c>
      <c r="E36" s="72" t="s">
        <v>78</v>
      </c>
      <c r="F36" s="27">
        <f>G36/$G$37*9.16</f>
        <v>2.57988874130275</v>
      </c>
      <c r="G36" s="20">
        <f>M30</f>
        <v>175839956</v>
      </c>
      <c r="H36" s="8">
        <f t="shared" si="1"/>
        <v>99.92048280539834</v>
      </c>
      <c r="I36" s="20">
        <f>N30</f>
        <v>175700133</v>
      </c>
    </row>
    <row r="37" spans="1:9" ht="15">
      <c r="A37" s="1"/>
      <c r="B37" s="1"/>
      <c r="C37" s="1"/>
      <c r="D37" s="1"/>
      <c r="E37" s="1"/>
      <c r="F37" s="1"/>
      <c r="G37" s="22">
        <f>SUM(G32:G36)</f>
        <v>624326922</v>
      </c>
      <c r="H37" s="16">
        <f t="shared" si="1"/>
        <v>75.43605688046878</v>
      </c>
      <c r="I37" s="22">
        <f>SUM(I32:I36)</f>
        <v>470967612</v>
      </c>
    </row>
    <row r="38" spans="1:9" ht="15">
      <c r="A38" s="1"/>
      <c r="B38" s="1"/>
      <c r="C38" s="1"/>
      <c r="D38" s="1"/>
      <c r="E38" s="1"/>
      <c r="F38" s="1"/>
      <c r="G38" s="1"/>
      <c r="H38" s="8"/>
      <c r="I38" s="1"/>
    </row>
    <row r="39" spans="1:9" ht="15">
      <c r="A39" s="1"/>
      <c r="B39" s="1"/>
      <c r="C39" s="1"/>
      <c r="D39" s="1"/>
      <c r="E39" s="1"/>
      <c r="F39" s="1"/>
      <c r="G39" s="22">
        <f>G15+G26+G30+G37</f>
        <v>6814517224</v>
      </c>
      <c r="H39" s="16">
        <f t="shared" si="1"/>
        <v>78.52049941491204</v>
      </c>
      <c r="I39" s="22">
        <f>I15+I26+I30+I37</f>
        <v>5350792957</v>
      </c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2" ht="15">
      <c r="A42" t="str">
        <f>'año 2008'!A48</f>
        <v>MARIA JOSEFINA LOPEZ RAMIREZ</v>
      </c>
    </row>
    <row r="43" ht="15" hidden="1">
      <c r="A43" t="str">
        <f>'año 2008'!A49</f>
        <v>JEFE ASESORA  OFICINA DE PLANEACION (e)</v>
      </c>
    </row>
    <row r="44" spans="1:9" ht="15" hidden="1">
      <c r="A44" t="str">
        <f>'año 2008'!A50</f>
        <v>Fuente</v>
      </c>
      <c r="G44" s="17">
        <f>G15/$G$39*100</f>
        <v>17.48059168160377</v>
      </c>
      <c r="I44" s="17">
        <f>I15/$I$39*100</f>
        <v>17.953399070380065</v>
      </c>
    </row>
    <row r="45" spans="1:9" ht="15" hidden="1">
      <c r="A45" t="str">
        <f>'año 2008'!A51</f>
        <v>Cuadro Ejecucion Presupuestal año 2008</v>
      </c>
      <c r="G45" s="17">
        <f>G26/G39*100</f>
        <v>71.09157697830774</v>
      </c>
      <c r="I45" s="17">
        <f>I26/I39*100</f>
        <v>71.20836430449835</v>
      </c>
    </row>
    <row r="46" spans="1:9" ht="15" hidden="1">
      <c r="A46" t="str">
        <f>'año 2008'!A52</f>
        <v>Banco de Proyectos</v>
      </c>
      <c r="G46" s="17">
        <f>G30/G39*100</f>
        <v>2.266112300019333</v>
      </c>
      <c r="I46" s="17">
        <f>I30/I39*100</f>
        <v>2.0364082646377004</v>
      </c>
    </row>
    <row r="47" spans="1:9" ht="15" hidden="1">
      <c r="A47" t="str">
        <f>'año 2008'!A53</f>
        <v>Contratacion</v>
      </c>
      <c r="G47" s="17">
        <f>G37/G39*100</f>
        <v>9.161719040069155</v>
      </c>
      <c r="I47" s="17">
        <f>I37/I39*100</f>
        <v>8.80182836048388</v>
      </c>
    </row>
    <row r="48" ht="15" hidden="1">
      <c r="A48">
        <f>'año 2008'!A54</f>
        <v>0</v>
      </c>
    </row>
    <row r="49" ht="15">
      <c r="A49" t="str">
        <f>'año 2008'!A49</f>
        <v>JEFE ASESORA  OFICINA DE PLANEACION (e)</v>
      </c>
    </row>
    <row r="50" ht="15">
      <c r="A50" t="str">
        <f>'año 2008'!A50</f>
        <v>Fuente</v>
      </c>
    </row>
    <row r="51" ht="15">
      <c r="A51" t="s">
        <v>107</v>
      </c>
    </row>
    <row r="52" ht="15">
      <c r="A52" t="s">
        <v>127</v>
      </c>
    </row>
    <row r="53" ht="15">
      <c r="A53" t="s">
        <v>128</v>
      </c>
    </row>
  </sheetData>
  <sheetProtection/>
  <mergeCells count="9">
    <mergeCell ref="A1:I1"/>
    <mergeCell ref="A2:I2"/>
    <mergeCell ref="A3:I3"/>
    <mergeCell ref="L7:L8"/>
    <mergeCell ref="N7:R7"/>
    <mergeCell ref="B8:B14"/>
    <mergeCell ref="B18:B25"/>
    <mergeCell ref="B28:B29"/>
    <mergeCell ref="B32:B36"/>
  </mergeCells>
  <printOptions/>
  <pageMargins left="0.7086614173228347" right="1.1811023622047245" top="0.49" bottom="0.48" header="0.31496062992125984" footer="0.31496062992125984"/>
  <pageSetup horizontalDpi="300" verticalDpi="300"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zoomScale="75" zoomScaleNormal="75" zoomScalePageLayoutView="0" workbookViewId="0" topLeftCell="A1">
      <selection activeCell="A17" sqref="A17"/>
    </sheetView>
  </sheetViews>
  <sheetFormatPr defaultColWidth="11.421875" defaultRowHeight="15"/>
  <cols>
    <col min="1" max="1" width="41.7109375" style="0" customWidth="1"/>
    <col min="2" max="2" width="8.00390625" style="0" bestFit="1" customWidth="1"/>
    <col min="3" max="3" width="40.57421875" style="0" customWidth="1"/>
    <col min="5" max="5" width="29.7109375" style="0" customWidth="1"/>
    <col min="6" max="6" width="7.00390625" style="0" bestFit="1" customWidth="1"/>
    <col min="7" max="7" width="23.7109375" style="0" customWidth="1"/>
    <col min="8" max="8" width="9.140625" style="0" bestFit="1" customWidth="1"/>
    <col min="9" max="9" width="17.140625" style="0" bestFit="1" customWidth="1"/>
    <col min="10" max="10" width="0" style="0" hidden="1" customWidth="1"/>
    <col min="11" max="11" width="24.28125" style="0" hidden="1" customWidth="1"/>
    <col min="12" max="12" width="19.00390625" style="0" hidden="1" customWidth="1"/>
    <col min="13" max="13" width="20.28125" style="0" hidden="1" customWidth="1"/>
    <col min="14" max="14" width="0" style="0" hidden="1" customWidth="1"/>
    <col min="15" max="15" width="18.140625" style="0" hidden="1" customWidth="1"/>
    <col min="16" max="16" width="16.57421875" style="0" hidden="1" customWidth="1"/>
    <col min="17" max="17" width="18.140625" style="0" hidden="1" customWidth="1"/>
  </cols>
  <sheetData>
    <row r="1" spans="1:9" ht="15">
      <c r="A1" s="138" t="s">
        <v>103</v>
      </c>
      <c r="B1" s="138"/>
      <c r="C1" s="138"/>
      <c r="D1" s="138"/>
      <c r="E1" s="138"/>
      <c r="F1" s="138"/>
      <c r="G1" s="138"/>
      <c r="H1" s="138"/>
      <c r="I1" s="138"/>
    </row>
    <row r="2" spans="1:9" ht="15">
      <c r="A2" s="138" t="s">
        <v>104</v>
      </c>
      <c r="B2" s="138"/>
      <c r="C2" s="138"/>
      <c r="D2" s="138"/>
      <c r="E2" s="138"/>
      <c r="F2" s="138"/>
      <c r="G2" s="138"/>
      <c r="H2" s="138"/>
      <c r="I2" s="138"/>
    </row>
    <row r="3" spans="1:9" ht="15">
      <c r="A3" s="138" t="s">
        <v>17</v>
      </c>
      <c r="B3" s="138"/>
      <c r="C3" s="138"/>
      <c r="D3" s="138"/>
      <c r="E3" s="138"/>
      <c r="F3" s="138"/>
      <c r="G3" s="138"/>
      <c r="H3" s="138"/>
      <c r="I3" s="138"/>
    </row>
    <row r="5" spans="1:9" s="18" customFormat="1" ht="15">
      <c r="A5" s="21" t="s">
        <v>0</v>
      </c>
      <c r="B5" s="21" t="s">
        <v>1</v>
      </c>
      <c r="C5" s="21" t="s">
        <v>2</v>
      </c>
      <c r="D5" s="21" t="s">
        <v>1</v>
      </c>
      <c r="E5" s="21" t="s">
        <v>41</v>
      </c>
      <c r="F5" s="21" t="s">
        <v>42</v>
      </c>
      <c r="G5" s="21" t="s">
        <v>4</v>
      </c>
      <c r="H5" s="21" t="s">
        <v>58</v>
      </c>
      <c r="I5" s="21" t="s">
        <v>5</v>
      </c>
    </row>
    <row r="6" ht="15" hidden="1"/>
    <row r="7" spans="1:17" ht="15" hidden="1">
      <c r="A7" s="1"/>
      <c r="B7" s="1"/>
      <c r="C7" s="1"/>
      <c r="D7" s="1"/>
      <c r="E7" s="1"/>
      <c r="F7" s="1"/>
      <c r="K7" s="148" t="s">
        <v>2</v>
      </c>
      <c r="L7" s="5"/>
      <c r="M7" s="149" t="s">
        <v>17</v>
      </c>
      <c r="N7" s="150"/>
      <c r="O7" s="150"/>
      <c r="P7" s="150"/>
      <c r="Q7" s="151"/>
    </row>
    <row r="8" spans="1:17" ht="26.25" customHeight="1">
      <c r="A8" s="1" t="s">
        <v>3</v>
      </c>
      <c r="B8" s="135">
        <v>24</v>
      </c>
      <c r="C8" s="1" t="s">
        <v>60</v>
      </c>
      <c r="D8" s="1">
        <v>40</v>
      </c>
      <c r="E8" s="4" t="s">
        <v>62</v>
      </c>
      <c r="F8" s="1">
        <f>G8/$G$15*27.33</f>
        <v>10.302303682270884</v>
      </c>
      <c r="G8" s="8">
        <v>609615683</v>
      </c>
      <c r="H8" s="8">
        <f>I8/G8*100</f>
        <v>80.49729914838821</v>
      </c>
      <c r="I8" s="8">
        <v>490724160</v>
      </c>
      <c r="K8" s="148"/>
      <c r="L8" s="6" t="s">
        <v>18</v>
      </c>
      <c r="M8" s="7" t="s">
        <v>5</v>
      </c>
      <c r="N8" s="7" t="s">
        <v>19</v>
      </c>
      <c r="O8" s="7" t="s">
        <v>20</v>
      </c>
      <c r="P8" s="7" t="s">
        <v>21</v>
      </c>
      <c r="Q8" s="7" t="s">
        <v>22</v>
      </c>
    </row>
    <row r="9" spans="1:17" ht="30">
      <c r="A9" s="1"/>
      <c r="B9" s="136"/>
      <c r="C9" s="3" t="s">
        <v>97</v>
      </c>
      <c r="D9" s="1">
        <v>5</v>
      </c>
      <c r="E9" s="4" t="s">
        <v>59</v>
      </c>
      <c r="F9" s="27">
        <f aca="true" t="shared" si="0" ref="F9:F14">G9/$G$15*27.33</f>
        <v>0.5871114416983862</v>
      </c>
      <c r="G9" s="8">
        <v>34741001</v>
      </c>
      <c r="H9" s="8">
        <f aca="true" t="shared" si="1" ref="H9:H38">I9/G9*100</f>
        <v>51.12416881712763</v>
      </c>
      <c r="I9" s="8">
        <v>17761048</v>
      </c>
      <c r="K9" s="14" t="s">
        <v>23</v>
      </c>
      <c r="L9" s="8">
        <v>53221963</v>
      </c>
      <c r="M9" s="8">
        <v>39888720</v>
      </c>
      <c r="N9" s="9">
        <f>M9*100/M37</f>
        <v>0.8493708339598887</v>
      </c>
      <c r="O9" s="8">
        <v>37388720</v>
      </c>
      <c r="P9" s="8">
        <v>2500000</v>
      </c>
      <c r="Q9" s="8">
        <v>0</v>
      </c>
    </row>
    <row r="10" spans="1:17" ht="75">
      <c r="A10" s="1"/>
      <c r="B10" s="136"/>
      <c r="C10" s="2" t="s">
        <v>96</v>
      </c>
      <c r="D10" s="1">
        <v>9</v>
      </c>
      <c r="E10" s="4" t="s">
        <v>61</v>
      </c>
      <c r="F10" s="1">
        <f t="shared" si="0"/>
        <v>0</v>
      </c>
      <c r="G10" s="8">
        <v>0</v>
      </c>
      <c r="H10" s="8"/>
      <c r="I10" s="8">
        <v>0</v>
      </c>
      <c r="J10" s="18" t="s">
        <v>43</v>
      </c>
      <c r="K10" s="14"/>
      <c r="L10" s="8"/>
      <c r="M10" s="8"/>
      <c r="N10" s="9"/>
      <c r="O10" s="8"/>
      <c r="P10" s="8"/>
      <c r="Q10" s="8"/>
    </row>
    <row r="11" spans="1:17" ht="30">
      <c r="A11" s="1"/>
      <c r="B11" s="136"/>
      <c r="C11" s="19" t="s">
        <v>98</v>
      </c>
      <c r="D11" s="19">
        <v>4</v>
      </c>
      <c r="E11" s="4" t="s">
        <v>63</v>
      </c>
      <c r="F11" s="1">
        <f t="shared" si="0"/>
        <v>14.287070461767879</v>
      </c>
      <c r="G11" s="8">
        <v>845405308</v>
      </c>
      <c r="H11" s="8">
        <f t="shared" si="1"/>
        <v>79.35274591391612</v>
      </c>
      <c r="I11" s="8">
        <v>670852326</v>
      </c>
      <c r="K11" s="14"/>
      <c r="L11" s="8"/>
      <c r="M11" s="8"/>
      <c r="N11" s="9"/>
      <c r="O11" s="8"/>
      <c r="P11" s="8"/>
      <c r="Q11" s="8"/>
    </row>
    <row r="12" spans="1:17" ht="45">
      <c r="A12" s="1"/>
      <c r="B12" s="136"/>
      <c r="C12" s="2" t="s">
        <v>99</v>
      </c>
      <c r="D12" s="1">
        <v>22</v>
      </c>
      <c r="E12" s="4" t="s">
        <v>64</v>
      </c>
      <c r="F12" s="27">
        <f t="shared" si="0"/>
        <v>1.7534978806599135</v>
      </c>
      <c r="G12" s="8">
        <v>103759299</v>
      </c>
      <c r="H12" s="8">
        <f t="shared" si="1"/>
        <v>81.16489106195677</v>
      </c>
      <c r="I12" s="8">
        <v>84216122</v>
      </c>
      <c r="K12" s="14"/>
      <c r="L12" s="8"/>
      <c r="M12" s="8"/>
      <c r="N12" s="9"/>
      <c r="O12" s="8"/>
      <c r="P12" s="8"/>
      <c r="Q12" s="8"/>
    </row>
    <row r="13" spans="1:17" ht="30">
      <c r="A13" s="1"/>
      <c r="B13" s="136"/>
      <c r="C13" s="2" t="s">
        <v>100</v>
      </c>
      <c r="D13" s="1">
        <v>8</v>
      </c>
      <c r="E13" s="4" t="s">
        <v>65</v>
      </c>
      <c r="F13" s="1">
        <f t="shared" si="0"/>
        <v>0</v>
      </c>
      <c r="G13" s="8">
        <v>0</v>
      </c>
      <c r="H13" s="8">
        <v>0</v>
      </c>
      <c r="I13" s="8">
        <v>0</v>
      </c>
      <c r="K13" s="14"/>
      <c r="L13" s="8"/>
      <c r="M13" s="8"/>
      <c r="N13" s="9"/>
      <c r="O13" s="8"/>
      <c r="P13" s="8"/>
      <c r="Q13" s="8"/>
    </row>
    <row r="14" spans="1:17" ht="30">
      <c r="A14" s="1"/>
      <c r="B14" s="137"/>
      <c r="C14" s="2" t="s">
        <v>101</v>
      </c>
      <c r="D14" s="1">
        <v>12</v>
      </c>
      <c r="E14" s="4" t="s">
        <v>66</v>
      </c>
      <c r="F14" s="1">
        <f t="shared" si="0"/>
        <v>0.40001653360293615</v>
      </c>
      <c r="G14" s="8">
        <v>23670080</v>
      </c>
      <c r="H14" s="8">
        <f t="shared" si="1"/>
        <v>54.921656369560225</v>
      </c>
      <c r="I14" s="8">
        <v>13000000</v>
      </c>
      <c r="K14" s="14" t="s">
        <v>12</v>
      </c>
      <c r="L14" s="8">
        <v>446275011</v>
      </c>
      <c r="M14" s="8">
        <v>385580872</v>
      </c>
      <c r="N14" s="9">
        <f>M14*100/M37</f>
        <v>8.210369919356175</v>
      </c>
      <c r="O14" s="8">
        <v>379647587</v>
      </c>
      <c r="P14" s="8">
        <v>5933285</v>
      </c>
      <c r="Q14" s="8">
        <v>0</v>
      </c>
    </row>
    <row r="15" spans="1:17" ht="15">
      <c r="A15" s="1"/>
      <c r="B15" s="1"/>
      <c r="C15" s="2"/>
      <c r="D15" s="1"/>
      <c r="E15" s="1"/>
      <c r="F15" s="1">
        <f>SUM(F8:F14)</f>
        <v>27.33</v>
      </c>
      <c r="G15" s="23">
        <v>1617191371</v>
      </c>
      <c r="H15" s="16">
        <f t="shared" si="1"/>
        <v>78.9364622450734</v>
      </c>
      <c r="I15" s="23">
        <v>1276553656</v>
      </c>
      <c r="K15" s="15" t="s">
        <v>24</v>
      </c>
      <c r="L15" s="8">
        <v>222315682</v>
      </c>
      <c r="M15" s="8">
        <v>103424160</v>
      </c>
      <c r="N15" s="9">
        <f>M15*100/M37</f>
        <v>2.2022633223327537</v>
      </c>
      <c r="O15" s="8">
        <v>96156106</v>
      </c>
      <c r="P15" s="8">
        <v>7268054</v>
      </c>
      <c r="Q15" s="8">
        <v>0</v>
      </c>
    </row>
    <row r="16" spans="1:17" ht="15">
      <c r="A16" s="1"/>
      <c r="B16" s="1"/>
      <c r="C16" s="2"/>
      <c r="D16" s="1"/>
      <c r="E16" s="1"/>
      <c r="F16" s="1"/>
      <c r="G16" s="8"/>
      <c r="H16" s="8"/>
      <c r="I16" s="8"/>
      <c r="K16" s="14" t="s">
        <v>25</v>
      </c>
      <c r="L16" s="8">
        <v>34741001</v>
      </c>
      <c r="M16" s="8">
        <v>17761048</v>
      </c>
      <c r="N16" s="9">
        <f>M16*100/M37</f>
        <v>0.3781950424020027</v>
      </c>
      <c r="O16" s="8">
        <v>7339116</v>
      </c>
      <c r="P16" s="8">
        <v>10421932</v>
      </c>
      <c r="Q16" s="8">
        <v>0</v>
      </c>
    </row>
    <row r="17" spans="1:17" ht="30">
      <c r="A17" s="1" t="s">
        <v>9</v>
      </c>
      <c r="B17" s="135">
        <v>51</v>
      </c>
      <c r="C17" s="3" t="s">
        <v>88</v>
      </c>
      <c r="D17" s="1">
        <v>24</v>
      </c>
      <c r="E17" s="4" t="s">
        <v>67</v>
      </c>
      <c r="F17" s="27">
        <f>G17/$G$25*65.18</f>
        <v>7.540923211683105</v>
      </c>
      <c r="G17" s="8">
        <v>446275011</v>
      </c>
      <c r="H17" s="8">
        <f t="shared" si="1"/>
        <v>86.3998347422594</v>
      </c>
      <c r="I17" s="8">
        <v>385580872</v>
      </c>
      <c r="K17" s="15" t="s">
        <v>8</v>
      </c>
      <c r="L17" s="8">
        <v>103759299</v>
      </c>
      <c r="M17" s="8">
        <v>84216122</v>
      </c>
      <c r="N17" s="9">
        <f>M17*100/M37</f>
        <v>1.7932567847754384</v>
      </c>
      <c r="O17" s="8">
        <v>79254064</v>
      </c>
      <c r="P17" s="8">
        <v>4962058</v>
      </c>
      <c r="Q17" s="8">
        <v>0</v>
      </c>
    </row>
    <row r="18" spans="1:17" ht="15">
      <c r="A18" s="1"/>
      <c r="B18" s="136"/>
      <c r="C18" s="3" t="s">
        <v>89</v>
      </c>
      <c r="D18" s="1">
        <v>4</v>
      </c>
      <c r="E18" s="4" t="s">
        <v>68</v>
      </c>
      <c r="F18" s="27">
        <f aca="true" t="shared" si="2" ref="F18:F24">G18/$G$25*65.18</f>
        <v>0.8993170719075718</v>
      </c>
      <c r="G18" s="8">
        <v>53221963</v>
      </c>
      <c r="H18" s="8">
        <f t="shared" si="1"/>
        <v>74.94785564373115</v>
      </c>
      <c r="I18" s="8">
        <v>39888720</v>
      </c>
      <c r="K18" s="15" t="s">
        <v>13</v>
      </c>
      <c r="L18" s="8">
        <v>861836885</v>
      </c>
      <c r="M18" s="8">
        <v>681312523</v>
      </c>
      <c r="N18" s="9">
        <f>M18*100/M37</f>
        <v>14.507534607473637</v>
      </c>
      <c r="O18" s="8">
        <v>116321899</v>
      </c>
      <c r="P18" s="8">
        <v>77428174</v>
      </c>
      <c r="Q18" s="8">
        <v>487562450</v>
      </c>
    </row>
    <row r="19" spans="1:17" ht="45">
      <c r="A19" s="1"/>
      <c r="B19" s="136"/>
      <c r="C19" s="3" t="s">
        <v>90</v>
      </c>
      <c r="D19" s="1">
        <v>30</v>
      </c>
      <c r="E19" s="4" t="s">
        <v>69</v>
      </c>
      <c r="F19" s="27">
        <f t="shared" si="2"/>
        <v>47.28754814388586</v>
      </c>
      <c r="G19" s="8">
        <v>2798497011</v>
      </c>
      <c r="H19" s="8">
        <f t="shared" si="1"/>
        <v>80.83242012081607</v>
      </c>
      <c r="I19" s="8">
        <v>2262092861</v>
      </c>
      <c r="K19" s="1" t="s">
        <v>26</v>
      </c>
      <c r="L19" s="8">
        <v>34894725</v>
      </c>
      <c r="M19" s="8">
        <v>21287180</v>
      </c>
      <c r="N19" s="9">
        <f>M19*100/M37</f>
        <v>0.4532787672618791</v>
      </c>
      <c r="O19" s="8">
        <v>0</v>
      </c>
      <c r="P19" s="8">
        <v>11000000</v>
      </c>
      <c r="Q19" s="8">
        <v>10287180</v>
      </c>
    </row>
    <row r="20" spans="1:17" ht="60">
      <c r="A20" s="1"/>
      <c r="B20" s="136"/>
      <c r="C20" s="1" t="s">
        <v>91</v>
      </c>
      <c r="D20" s="1">
        <v>7</v>
      </c>
      <c r="E20" s="4" t="s">
        <v>70</v>
      </c>
      <c r="F20" s="27">
        <f t="shared" si="2"/>
        <v>1.6900973527147942</v>
      </c>
      <c r="G20" s="8">
        <v>100020673</v>
      </c>
      <c r="H20" s="8">
        <f t="shared" si="1"/>
        <v>61.06020902298867</v>
      </c>
      <c r="I20" s="8">
        <v>61072832</v>
      </c>
      <c r="K20" s="1" t="s">
        <v>27</v>
      </c>
      <c r="L20" s="8">
        <v>8000000</v>
      </c>
      <c r="M20" s="8">
        <v>8000000</v>
      </c>
      <c r="N20" s="9">
        <f>M20*100/M37</f>
        <v>0.1703480751370089</v>
      </c>
      <c r="O20" s="8">
        <v>0</v>
      </c>
      <c r="P20" s="8">
        <v>8000000</v>
      </c>
      <c r="Q20" s="8">
        <v>0</v>
      </c>
    </row>
    <row r="21" spans="1:17" ht="30">
      <c r="A21" s="1"/>
      <c r="B21" s="136"/>
      <c r="C21" s="3" t="s">
        <v>92</v>
      </c>
      <c r="D21" s="1">
        <v>10</v>
      </c>
      <c r="E21" s="4" t="s">
        <v>71</v>
      </c>
      <c r="F21" s="27">
        <f t="shared" si="2"/>
        <v>1.434555710327108</v>
      </c>
      <c r="G21" s="8">
        <v>84897611</v>
      </c>
      <c r="H21" s="8">
        <f t="shared" si="1"/>
        <v>96.10728033324753</v>
      </c>
      <c r="I21" s="8">
        <v>81592785</v>
      </c>
      <c r="K21" s="1" t="s">
        <v>28</v>
      </c>
      <c r="L21" s="8">
        <v>18000000</v>
      </c>
      <c r="M21" s="8">
        <v>10000000</v>
      </c>
      <c r="N21" s="9">
        <f>M21*100/M37</f>
        <v>0.21293509392126111</v>
      </c>
      <c r="O21" s="8">
        <v>5000000</v>
      </c>
      <c r="P21" s="8">
        <v>5000000</v>
      </c>
      <c r="Q21" s="8">
        <v>0</v>
      </c>
    </row>
    <row r="22" spans="1:17" s="41" customFormat="1" ht="30">
      <c r="A22" s="42"/>
      <c r="B22" s="136"/>
      <c r="C22" s="42" t="s">
        <v>93</v>
      </c>
      <c r="D22" s="42">
        <v>10</v>
      </c>
      <c r="E22" s="4" t="s">
        <v>72</v>
      </c>
      <c r="F22" s="46">
        <f t="shared" si="2"/>
        <v>2.3874158787887234</v>
      </c>
      <c r="G22" s="52">
        <v>141288277</v>
      </c>
      <c r="H22" s="52">
        <f t="shared" si="1"/>
        <v>97.80928604572055</v>
      </c>
      <c r="I22" s="52">
        <v>138193055</v>
      </c>
      <c r="K22" s="42" t="s">
        <v>29</v>
      </c>
      <c r="L22" s="52">
        <v>23670080</v>
      </c>
      <c r="M22" s="52">
        <v>13000000</v>
      </c>
      <c r="N22" s="36">
        <f>M22*100/M37</f>
        <v>0.27681562209763944</v>
      </c>
      <c r="O22" s="52">
        <v>13000000</v>
      </c>
      <c r="P22" s="52">
        <v>0</v>
      </c>
      <c r="Q22" s="52">
        <v>0</v>
      </c>
    </row>
    <row r="23" spans="1:17" ht="30">
      <c r="A23" s="1"/>
      <c r="B23" s="136"/>
      <c r="C23" s="3" t="s">
        <v>94</v>
      </c>
      <c r="D23" s="1">
        <v>15</v>
      </c>
      <c r="E23" s="4" t="s">
        <v>74</v>
      </c>
      <c r="F23" s="27">
        <f t="shared" si="2"/>
        <v>3.7458216071158477</v>
      </c>
      <c r="G23" s="8">
        <v>221679300</v>
      </c>
      <c r="H23" s="8">
        <f t="shared" si="1"/>
        <v>41.88580530523148</v>
      </c>
      <c r="I23" s="8">
        <v>92852160</v>
      </c>
      <c r="K23" s="14" t="s">
        <v>30</v>
      </c>
      <c r="L23" s="8">
        <v>221679300</v>
      </c>
      <c r="M23" s="8">
        <v>92852160</v>
      </c>
      <c r="N23" s="9">
        <f>M23*100/M37</f>
        <v>1.9771483410391963</v>
      </c>
      <c r="O23" s="8">
        <v>62812777</v>
      </c>
      <c r="P23" s="8">
        <v>16577223</v>
      </c>
      <c r="Q23" s="8">
        <v>13462160</v>
      </c>
    </row>
    <row r="24" spans="1:17" ht="15">
      <c r="A24" s="1"/>
      <c r="B24" s="137"/>
      <c r="C24" s="3" t="s">
        <v>95</v>
      </c>
      <c r="D24" s="1"/>
      <c r="E24" s="4" t="s">
        <v>73</v>
      </c>
      <c r="F24" s="27">
        <f t="shared" si="2"/>
        <v>0.19432102357699726</v>
      </c>
      <c r="G24" s="20">
        <v>11500000</v>
      </c>
      <c r="H24" s="8">
        <f t="shared" si="1"/>
        <v>39.130434782608695</v>
      </c>
      <c r="I24" s="20">
        <v>4500000</v>
      </c>
      <c r="K24" s="1" t="s">
        <v>31</v>
      </c>
      <c r="L24" s="8">
        <v>57198595</v>
      </c>
      <c r="M24" s="8">
        <v>43095198</v>
      </c>
      <c r="N24" s="9">
        <f>M24*100/M37</f>
        <v>0.9176480033685344</v>
      </c>
      <c r="O24" s="8">
        <v>15509502</v>
      </c>
      <c r="P24" s="8">
        <v>27585696</v>
      </c>
      <c r="Q24" s="8">
        <v>0</v>
      </c>
    </row>
    <row r="25" spans="1:17" ht="15">
      <c r="A25" s="1"/>
      <c r="B25" s="1"/>
      <c r="C25" s="3"/>
      <c r="D25" s="1"/>
      <c r="E25" s="1"/>
      <c r="F25" s="1"/>
      <c r="G25" s="16">
        <v>3857379846</v>
      </c>
      <c r="H25" s="16">
        <f t="shared" si="1"/>
        <v>79.4781278327859</v>
      </c>
      <c r="I25" s="16">
        <v>3065773285</v>
      </c>
      <c r="K25" s="1" t="s">
        <v>32</v>
      </c>
      <c r="L25" s="8">
        <v>11500000</v>
      </c>
      <c r="M25" s="8">
        <v>4500000</v>
      </c>
      <c r="N25" s="9">
        <f>M25*100/M37</f>
        <v>0.0958207922645675</v>
      </c>
      <c r="O25" s="8">
        <v>0</v>
      </c>
      <c r="P25" s="8">
        <v>4500000</v>
      </c>
      <c r="Q25" s="8">
        <v>0</v>
      </c>
    </row>
    <row r="26" spans="1:17" ht="15">
      <c r="A26" s="1"/>
      <c r="B26" s="1"/>
      <c r="C26" s="3"/>
      <c r="D26" s="1"/>
      <c r="E26" s="1"/>
      <c r="F26" s="1"/>
      <c r="G26" s="16"/>
      <c r="H26" s="8"/>
      <c r="I26" s="16"/>
      <c r="K26" s="1"/>
      <c r="L26" s="8"/>
      <c r="M26" s="8"/>
      <c r="N26" s="9"/>
      <c r="O26" s="8"/>
      <c r="P26" s="8"/>
      <c r="Q26" s="8"/>
    </row>
    <row r="27" spans="1:17" ht="29.25" customHeight="1">
      <c r="A27" s="4" t="s">
        <v>15</v>
      </c>
      <c r="B27" s="135">
        <v>10</v>
      </c>
      <c r="C27" s="1" t="s">
        <v>86</v>
      </c>
      <c r="D27" s="1">
        <v>30</v>
      </c>
      <c r="E27" s="29" t="s">
        <v>75</v>
      </c>
      <c r="F27" s="27">
        <f>G27/G29*1.24</f>
        <v>0.27672291027650997</v>
      </c>
      <c r="G27" s="20">
        <v>16431577</v>
      </c>
      <c r="H27" s="8">
        <f t="shared" si="1"/>
        <v>63.65911805056812</v>
      </c>
      <c r="I27" s="20">
        <v>10460197</v>
      </c>
      <c r="K27" s="1" t="s">
        <v>33</v>
      </c>
      <c r="L27" s="8">
        <v>102692010</v>
      </c>
      <c r="M27" s="8">
        <v>80127940</v>
      </c>
      <c r="N27" s="9">
        <f>M27*100/M37</f>
        <v>1.7062050429617175</v>
      </c>
      <c r="O27" s="8">
        <v>67866940</v>
      </c>
      <c r="P27" s="8">
        <v>12261000</v>
      </c>
      <c r="Q27" s="8">
        <v>0</v>
      </c>
    </row>
    <row r="28" spans="1:17" ht="45">
      <c r="A28" s="1"/>
      <c r="B28" s="137"/>
      <c r="C28" s="3" t="s">
        <v>87</v>
      </c>
      <c r="D28" s="1">
        <v>70</v>
      </c>
      <c r="E28" s="4" t="s">
        <v>76</v>
      </c>
      <c r="F28" s="27">
        <f>G28/G29*1.24</f>
        <v>0.9632770897234899</v>
      </c>
      <c r="G28" s="8">
        <v>57198595</v>
      </c>
      <c r="H28" s="8">
        <f t="shared" si="1"/>
        <v>75.34310589272341</v>
      </c>
      <c r="I28" s="8">
        <v>43095198</v>
      </c>
      <c r="K28" s="1" t="s">
        <v>34</v>
      </c>
      <c r="L28" s="8">
        <v>76061668</v>
      </c>
      <c r="M28" s="8">
        <v>56007780</v>
      </c>
      <c r="N28" s="9">
        <f>M28*100/M37</f>
        <v>1.192602189462133</v>
      </c>
      <c r="O28" s="8">
        <v>40869760</v>
      </c>
      <c r="P28" s="8">
        <v>15138020</v>
      </c>
      <c r="Q28" s="8">
        <v>0</v>
      </c>
    </row>
    <row r="29" spans="1:17" ht="15">
      <c r="A29" s="1"/>
      <c r="B29" s="1"/>
      <c r="C29" s="3"/>
      <c r="D29" s="1"/>
      <c r="E29" s="1"/>
      <c r="F29" s="1"/>
      <c r="G29" s="16">
        <v>73630172</v>
      </c>
      <c r="H29" s="16">
        <f t="shared" si="1"/>
        <v>72.73566466746811</v>
      </c>
      <c r="I29" s="16">
        <v>53555395</v>
      </c>
      <c r="K29" s="1"/>
      <c r="L29" s="8"/>
      <c r="M29" s="8"/>
      <c r="N29" s="9"/>
      <c r="O29" s="8"/>
      <c r="P29" s="8"/>
      <c r="Q29" s="8"/>
    </row>
    <row r="30" spans="1:17" ht="15">
      <c r="A30" s="1"/>
      <c r="B30" s="1"/>
      <c r="C30" s="3"/>
      <c r="D30" s="1"/>
      <c r="E30" s="1"/>
      <c r="F30" s="1"/>
      <c r="G30" s="1"/>
      <c r="H30" s="8"/>
      <c r="I30" s="1"/>
      <c r="K30" s="1" t="s">
        <v>35</v>
      </c>
      <c r="L30" s="8">
        <v>387300001</v>
      </c>
      <c r="M30" s="8">
        <v>387300000</v>
      </c>
      <c r="N30" s="9">
        <f>M30*100/M37</f>
        <v>8.246976187570443</v>
      </c>
      <c r="O30" s="8">
        <v>387300000</v>
      </c>
      <c r="P30" s="8">
        <v>0</v>
      </c>
      <c r="Q30" s="8">
        <v>0</v>
      </c>
    </row>
    <row r="31" spans="1:17" ht="30">
      <c r="A31" s="1" t="s">
        <v>14</v>
      </c>
      <c r="B31" s="135">
        <v>15</v>
      </c>
      <c r="C31" s="3" t="s">
        <v>81</v>
      </c>
      <c r="D31" s="1">
        <v>10</v>
      </c>
      <c r="E31" s="4" t="s">
        <v>79</v>
      </c>
      <c r="F31" s="27">
        <f>G31/$G$36*6.25</f>
        <v>1.926145212512683</v>
      </c>
      <c r="G31" s="20">
        <v>114061669</v>
      </c>
      <c r="H31" s="8">
        <f t="shared" si="1"/>
        <v>77.59642812170317</v>
      </c>
      <c r="I31" s="20">
        <v>88507781</v>
      </c>
      <c r="K31" s="14" t="s">
        <v>36</v>
      </c>
      <c r="L31" s="8">
        <v>84897611</v>
      </c>
      <c r="M31" s="8">
        <v>81592785</v>
      </c>
      <c r="N31" s="9">
        <f>M31*100/M37</f>
        <v>1.7373967337272265</v>
      </c>
      <c r="O31" s="8">
        <v>74231135</v>
      </c>
      <c r="P31" s="8">
        <v>0</v>
      </c>
      <c r="Q31" s="8">
        <v>7361650</v>
      </c>
    </row>
    <row r="32" spans="1:17" ht="15">
      <c r="A32" s="1"/>
      <c r="B32" s="136"/>
      <c r="C32" s="3" t="s">
        <v>82</v>
      </c>
      <c r="D32" s="1">
        <v>10</v>
      </c>
      <c r="E32" s="4" t="s">
        <v>102</v>
      </c>
      <c r="F32" s="27">
        <f>G32/$G$36*6.25</f>
        <v>0.30396376038674566</v>
      </c>
      <c r="G32" s="8">
        <v>18000000</v>
      </c>
      <c r="H32" s="8">
        <f t="shared" si="1"/>
        <v>55.55555555555556</v>
      </c>
      <c r="I32" s="8">
        <v>10000000</v>
      </c>
      <c r="K32" s="14" t="s">
        <v>10</v>
      </c>
      <c r="L32" s="8">
        <v>141288277</v>
      </c>
      <c r="M32" s="8">
        <v>138193055</v>
      </c>
      <c r="N32" s="9">
        <f>M32*100/M37</f>
        <v>2.9426151145691004</v>
      </c>
      <c r="O32" s="8">
        <v>54855230</v>
      </c>
      <c r="P32" s="8">
        <v>21000000</v>
      </c>
      <c r="Q32" s="8">
        <v>62337825</v>
      </c>
    </row>
    <row r="33" spans="1:17" ht="30">
      <c r="A33" s="1"/>
      <c r="B33" s="136"/>
      <c r="C33" s="3" t="s">
        <v>83</v>
      </c>
      <c r="D33" s="86">
        <v>10</v>
      </c>
      <c r="E33" s="4" t="s">
        <v>80</v>
      </c>
      <c r="F33" s="27">
        <f>G33/$G$36*6.25</f>
        <v>0.5892628793700769</v>
      </c>
      <c r="G33" s="8">
        <v>34894725</v>
      </c>
      <c r="H33" s="8">
        <f t="shared" si="1"/>
        <v>61.004005619760584</v>
      </c>
      <c r="I33" s="8">
        <v>21287180</v>
      </c>
      <c r="K33" s="14" t="s">
        <v>37</v>
      </c>
      <c r="L33" s="8">
        <v>100020673</v>
      </c>
      <c r="M33" s="8">
        <v>61072832</v>
      </c>
      <c r="N33" s="9">
        <f>M33*100/M37</f>
        <v>1.3004549217957402</v>
      </c>
      <c r="O33" s="8">
        <v>0</v>
      </c>
      <c r="P33" s="8">
        <v>43352626</v>
      </c>
      <c r="Q33" s="8">
        <v>17720206</v>
      </c>
    </row>
    <row r="34" spans="1:17" ht="30">
      <c r="A34" s="21"/>
      <c r="B34" s="136"/>
      <c r="C34" s="3" t="s">
        <v>84</v>
      </c>
      <c r="D34" s="1">
        <v>40</v>
      </c>
      <c r="E34" s="4" t="s">
        <v>77</v>
      </c>
      <c r="F34" s="86">
        <f>G34/$G$36*6.25</f>
        <v>1.7341471956262937</v>
      </c>
      <c r="G34" s="20">
        <v>102692010</v>
      </c>
      <c r="H34" s="8">
        <f t="shared" si="1"/>
        <v>78.02743368252311</v>
      </c>
      <c r="I34" s="20">
        <v>80127940</v>
      </c>
      <c r="K34" s="1" t="s">
        <v>38</v>
      </c>
      <c r="L34" s="8">
        <v>30000001</v>
      </c>
      <c r="M34" s="8">
        <v>24500001</v>
      </c>
      <c r="N34" s="9">
        <f>M34*100/M37</f>
        <v>0.5216910014005991</v>
      </c>
      <c r="O34" s="8">
        <v>5000000</v>
      </c>
      <c r="P34" s="8">
        <v>8500001</v>
      </c>
      <c r="Q34" s="8">
        <v>11000000</v>
      </c>
    </row>
    <row r="35" spans="1:17" ht="60">
      <c r="A35" s="21"/>
      <c r="B35" s="137"/>
      <c r="C35" s="1" t="s">
        <v>85</v>
      </c>
      <c r="D35" s="1">
        <v>20</v>
      </c>
      <c r="E35" s="4" t="s">
        <v>78</v>
      </c>
      <c r="F35" s="27">
        <f>G35/$G$36*6.25</f>
        <v>1.6964809521042006</v>
      </c>
      <c r="G35" s="20">
        <v>100461506</v>
      </c>
      <c r="H35" s="8">
        <f t="shared" si="1"/>
        <v>100</v>
      </c>
      <c r="I35" s="20">
        <v>100461506</v>
      </c>
      <c r="K35" s="14" t="s">
        <v>11</v>
      </c>
      <c r="L35" s="8">
        <v>2798497011</v>
      </c>
      <c r="M35" s="8">
        <v>2262092861</v>
      </c>
      <c r="N35" s="9">
        <f>M35*100/M37</f>
        <v>48.16789558156493</v>
      </c>
      <c r="O35" s="8">
        <v>1380745104</v>
      </c>
      <c r="P35" s="8">
        <v>4300000</v>
      </c>
      <c r="Q35" s="8">
        <v>877047757</v>
      </c>
    </row>
    <row r="36" spans="1:17" ht="15">
      <c r="A36" s="1"/>
      <c r="B36" s="1"/>
      <c r="C36" s="1"/>
      <c r="D36" s="1"/>
      <c r="E36" s="1"/>
      <c r="F36" s="1"/>
      <c r="G36" s="22">
        <v>370109910</v>
      </c>
      <c r="H36" s="16">
        <f t="shared" si="1"/>
        <v>81.16086570067795</v>
      </c>
      <c r="I36" s="22">
        <v>300384407</v>
      </c>
      <c r="K36" s="1" t="s">
        <v>39</v>
      </c>
      <c r="L36" s="8">
        <v>100461506</v>
      </c>
      <c r="M36" s="8">
        <v>100461506</v>
      </c>
      <c r="N36" s="9">
        <f>M36*100/M37</f>
        <v>2.1391780215581337</v>
      </c>
      <c r="O36" s="8">
        <v>100461506</v>
      </c>
      <c r="P36" s="8">
        <v>0</v>
      </c>
      <c r="Q36" s="8">
        <v>0</v>
      </c>
    </row>
    <row r="37" spans="1:17" ht="15">
      <c r="A37" s="1"/>
      <c r="B37" s="1"/>
      <c r="C37" s="1"/>
      <c r="D37" s="1"/>
      <c r="E37" s="1"/>
      <c r="F37" s="1"/>
      <c r="G37" s="1"/>
      <c r="H37" s="8"/>
      <c r="I37" s="1"/>
      <c r="K37" s="10" t="s">
        <v>40</v>
      </c>
      <c r="L37" s="11">
        <f aca="true" t="shared" si="3" ref="L37:Q37">SUM(L9:L36)</f>
        <v>5918311299</v>
      </c>
      <c r="M37" s="12">
        <f t="shared" si="3"/>
        <v>4696266743</v>
      </c>
      <c r="N37" s="13">
        <f t="shared" si="3"/>
        <v>100</v>
      </c>
      <c r="O37" s="13">
        <f t="shared" si="3"/>
        <v>2923759446</v>
      </c>
      <c r="P37" s="13">
        <f t="shared" si="3"/>
        <v>285728069</v>
      </c>
      <c r="Q37" s="13">
        <f t="shared" si="3"/>
        <v>1486779228</v>
      </c>
    </row>
    <row r="38" spans="1:9" ht="15">
      <c r="A38" s="1"/>
      <c r="B38" s="1"/>
      <c r="C38" s="1"/>
      <c r="D38" s="1"/>
      <c r="E38" s="1"/>
      <c r="F38" s="1"/>
      <c r="G38" s="22">
        <v>5918311299</v>
      </c>
      <c r="H38" s="16">
        <f t="shared" si="1"/>
        <v>79.35146540523333</v>
      </c>
      <c r="I38" s="22">
        <v>4696266743</v>
      </c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1" ht="15" hidden="1"/>
    <row r="42" ht="15" hidden="1">
      <c r="G42" s="17">
        <f>G15/G38*100</f>
        <v>27.325216422347577</v>
      </c>
    </row>
    <row r="43" ht="15" hidden="1">
      <c r="G43" s="17">
        <f>G25/G38*100</f>
        <v>65.17703532512341</v>
      </c>
    </row>
    <row r="44" ht="15" hidden="1">
      <c r="G44" s="17">
        <f>G29/G38*100</f>
        <v>1.24410779156617</v>
      </c>
    </row>
    <row r="45" ht="15" hidden="1">
      <c r="G45" s="17">
        <f>G36/G38*100</f>
        <v>6.253640460962849</v>
      </c>
    </row>
    <row r="46" ht="15" hidden="1"/>
    <row r="47" ht="15" hidden="1"/>
    <row r="48" spans="1:7" ht="15">
      <c r="A48" t="s">
        <v>105</v>
      </c>
      <c r="G48" s="32"/>
    </row>
    <row r="49" ht="15">
      <c r="A49" t="s">
        <v>134</v>
      </c>
    </row>
    <row r="50" ht="15">
      <c r="A50" t="s">
        <v>135</v>
      </c>
    </row>
    <row r="51" ht="15">
      <c r="A51" t="s">
        <v>106</v>
      </c>
    </row>
    <row r="52" ht="15">
      <c r="A52" t="s">
        <v>127</v>
      </c>
    </row>
    <row r="53" ht="15">
      <c r="A53" t="s">
        <v>128</v>
      </c>
    </row>
  </sheetData>
  <sheetProtection/>
  <mergeCells count="9">
    <mergeCell ref="A1:I1"/>
    <mergeCell ref="A2:I2"/>
    <mergeCell ref="A3:I3"/>
    <mergeCell ref="K7:K8"/>
    <mergeCell ref="M7:Q7"/>
    <mergeCell ref="B8:B14"/>
    <mergeCell ref="B17:B24"/>
    <mergeCell ref="B27:B28"/>
    <mergeCell ref="B31:B35"/>
  </mergeCells>
  <printOptions/>
  <pageMargins left="0.7086614173228347" right="1.1811023622047245" top="0.55" bottom="0.48" header="0.31496062992125984" footer="0.31496062992125984"/>
  <pageSetup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Toro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Carlos</cp:lastModifiedBy>
  <cp:lastPrinted>2012-01-24T01:42:44Z</cp:lastPrinted>
  <dcterms:created xsi:type="dcterms:W3CDTF">2011-09-06T21:35:37Z</dcterms:created>
  <dcterms:modified xsi:type="dcterms:W3CDTF">2013-04-29T16:05:03Z</dcterms:modified>
  <cp:category/>
  <cp:version/>
  <cp:contentType/>
  <cp:contentStatus/>
</cp:coreProperties>
</file>