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firstSheet="1" activeTab="8"/>
  </bookViews>
  <sheets>
    <sheet name="EDUCACION" sheetId="1" r:id="rId1"/>
    <sheet name="PLAN FINANCIERO" sheetId="2" r:id="rId2"/>
    <sheet name="recursos de Gestión " sheetId="3" r:id="rId3"/>
    <sheet name="MATRIZ POR PROGRAMAS" sheetId="4" r:id="rId4"/>
    <sheet name="GASTOS E INVERSION SIN GESTION" sheetId="5" r:id="rId5"/>
    <sheet name="DEPORTES" sheetId="6" r:id="rId6"/>
    <sheet name="CULTURA" sheetId="7" r:id="rId7"/>
    <sheet name="AGUA POTABLE Y" sheetId="8" r:id="rId8"/>
    <sheet name="UMATA" sheetId="9" r:id="rId9"/>
    <sheet name="SALUD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<sst xmlns="http://schemas.openxmlformats.org/spreadsheetml/2006/main" count="1188" uniqueCount="771">
  <si>
    <t>COMPONENTE  PLAN FINANCIERO</t>
  </si>
  <si>
    <t>MUNICIPIO DE INZA</t>
  </si>
  <si>
    <t>PLAN FINANCIERO: FUENTES</t>
  </si>
  <si>
    <r>
      <t>I. RECURSOS CON PLENA  PROBABILIDAD DE CONSECU</t>
    </r>
    <r>
      <rPr>
        <b/>
        <i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IÓN</t>
    </r>
  </si>
  <si>
    <t>DESCRIPCION DEL RECURSO</t>
  </si>
  <si>
    <t>TOTAL</t>
  </si>
  <si>
    <t>1-RECURSOS PROPIOS MUNICIPIO</t>
  </si>
  <si>
    <t xml:space="preserve">   1.1 Ingresos Corrientes de Libre destinación</t>
  </si>
  <si>
    <t xml:space="preserve">   1.2 Destinación Especifica</t>
  </si>
  <si>
    <t xml:space="preserve">   1.3 Recursos de Capital</t>
  </si>
  <si>
    <t xml:space="preserve">   1.4 Recursos del crédito</t>
  </si>
  <si>
    <t>2. SISTEMA GENERAL DE PARTICIPACIONES</t>
  </si>
  <si>
    <t xml:space="preserve">    3.1 Educación</t>
  </si>
  <si>
    <t>3.1.1 Alimentación Escolar</t>
  </si>
  <si>
    <t>3.1.2 Calidad de la educación</t>
  </si>
  <si>
    <t xml:space="preserve">    3.2 Salud</t>
  </si>
  <si>
    <t>3.2.1 salud pública</t>
  </si>
  <si>
    <t>3.2.2 Regimen subsidiado Continuidad</t>
  </si>
  <si>
    <t>3.2.3 Régimen subsidiado Ampliación</t>
  </si>
  <si>
    <t>3.3 Agua potable y saneamiento Básico</t>
  </si>
  <si>
    <t>3.4 Deporte</t>
  </si>
  <si>
    <t>3.5 Cultura</t>
  </si>
  <si>
    <t xml:space="preserve">3.6 Proposito general </t>
  </si>
  <si>
    <t>3.6.1 Libre destinación</t>
  </si>
  <si>
    <t>3.6.2 Libre Inversión</t>
  </si>
  <si>
    <t>4. OTRAS PARTICIPACIONES NACIONALES</t>
  </si>
  <si>
    <t>4.1 Recursos de Cofinanciación</t>
  </si>
  <si>
    <t>4.2 Fosyga (Continuidad)</t>
  </si>
  <si>
    <t>4.3  Fosyga (Ampliación R Subsidiado)</t>
  </si>
  <si>
    <t xml:space="preserve">4.4 Etesa </t>
  </si>
  <si>
    <t>5. RECURSOS DEPARTAMENTALES</t>
  </si>
  <si>
    <t>5.2 Impuesto de vehiculos automotor</t>
  </si>
  <si>
    <t>5.3 Transferencias del sector Eléctrico</t>
  </si>
  <si>
    <t>6. FONDOS Y CUENTAS ESPECIALES</t>
  </si>
  <si>
    <t>TOTAL PRESUPUESTO DE CADA AÑO</t>
  </si>
  <si>
    <t>SISTEMA DE COFINANCIACION DE PROYECTOS DEL ORDEN DEPARTAMENTAL Y NACIONAL</t>
  </si>
  <si>
    <t>1.EDUCACION</t>
  </si>
  <si>
    <t>2. SALUD</t>
  </si>
  <si>
    <t xml:space="preserve">Ampliacion de cobertura del regimen subsidiado </t>
  </si>
  <si>
    <t>4. DEPORTE Y RECREACION</t>
  </si>
  <si>
    <t>Recursos para electrificacion rural</t>
  </si>
  <si>
    <t>Recursos para mantenimiento de vìas</t>
  </si>
  <si>
    <t>Puentes caballares</t>
  </si>
  <si>
    <t>Recursos para el fortalecimiento del sector agropecuario</t>
  </si>
  <si>
    <t xml:space="preserve">3.1.3. Gratuidad de la educación </t>
  </si>
  <si>
    <t>Otras Fuentes Población pobre no asegurada</t>
  </si>
  <si>
    <t>Recaudo a Favor de Terceros C.R.C. (1.5/1000 PREDIAL)</t>
  </si>
  <si>
    <t>Convenio 0013-14-02-2011 CRC-SANTA ROSA</t>
  </si>
  <si>
    <t>Convenio 0014-14-02-2011 CRC-CALDERAS</t>
  </si>
  <si>
    <t>Convenio 0357-28-12-2011 CRC-REFORESTACION</t>
  </si>
  <si>
    <t>Convenio 0110-05-04-2011 CRC-REFORESTACION</t>
  </si>
  <si>
    <t>total a 2015</t>
  </si>
  <si>
    <t>Recursos para la formación integral de los niños y niñas de cero a siempre</t>
  </si>
  <si>
    <t>Recursos para rehubicación de viviendas en zona de alto riesgo</t>
  </si>
  <si>
    <t>Recursos para el proyecto de camineros</t>
  </si>
  <si>
    <t>Pavimentación de vías urbanas</t>
  </si>
  <si>
    <t>Recursos para ampliación de la red vial muncipal</t>
  </si>
  <si>
    <t>Recursos para la Gestión del Riesgo</t>
  </si>
  <si>
    <t>Recursos para combatir la pobreza y la pobreza extrema de 150 familias</t>
  </si>
  <si>
    <t>5.1 Deguello Ganado mayor</t>
  </si>
  <si>
    <t>Total presupuesto cierto de los cuatro años</t>
  </si>
  <si>
    <t>Menos Gastos de funcionamiento</t>
  </si>
  <si>
    <t>Menos recaudos de terceros</t>
  </si>
  <si>
    <t>Más Recursos de Gestión (Cuadro anexo No. ___</t>
  </si>
  <si>
    <t>PROGRAMAS</t>
  </si>
  <si>
    <t>TOTALES</t>
  </si>
  <si>
    <t>Fortalecimiento cultural</t>
  </si>
  <si>
    <t>promoción turistica</t>
  </si>
  <si>
    <t>5. RECURSOS PARA CULTURA Y TURISMO</t>
  </si>
  <si>
    <t>6. ELECTRIFICACION RURAL</t>
  </si>
  <si>
    <t>6. RECURSOS PARA LA POBLACIÓN INFANTIL Y LOS GRUPOS VULNERABLES</t>
  </si>
  <si>
    <t>Población en situación de discapacidad</t>
  </si>
  <si>
    <t>Población en extrema pobreza</t>
  </si>
  <si>
    <t>Población desplazada</t>
  </si>
  <si>
    <t>Atención  al adulto mayor</t>
  </si>
  <si>
    <t xml:space="preserve"> Niñez, infnacia y adolescencia</t>
  </si>
  <si>
    <t>Madres cabeza de hogar</t>
  </si>
  <si>
    <t>7.VIVIENDA</t>
  </si>
  <si>
    <t>Turismo y genración de Ingresos</t>
  </si>
  <si>
    <t>RECURSOS DE INVERSION ANUAL</t>
  </si>
  <si>
    <t>1.3.1 Recursos del Credito</t>
  </si>
  <si>
    <t xml:space="preserve">1.3.2. Rendimientos financieros </t>
  </si>
  <si>
    <t>INVERSION POR PROGRAMAS ESTRATEGICOS DEL MUNICIPIO DE INZA 2012– 2015</t>
  </si>
  <si>
    <t>MUNICPIO DE INZA</t>
  </si>
  <si>
    <t>PLAN DE DESARROLLO 2012 2015 AHORA LE TOCA A LA GENTE</t>
  </si>
  <si>
    <t>CODIGO PPTAL</t>
  </si>
  <si>
    <t>NOMBRE DEL RUBRO O NIVEL</t>
  </si>
  <si>
    <t>PRESUPUESTO INICIAL MAS ADICIONES</t>
  </si>
  <si>
    <t>PROYECCIONNES</t>
  </si>
  <si>
    <t>TOTAL GENERAL</t>
  </si>
  <si>
    <t>2</t>
  </si>
  <si>
    <t>PRESUPUESTO DE GASTOS DE FUNCIONAMIENTO</t>
  </si>
  <si>
    <t>2.2</t>
  </si>
  <si>
    <t>SERVICIO DE LA DEUDA  (RENTAS PROPIAS Y LIBRE INVERSION OTROS SECTORES)</t>
  </si>
  <si>
    <t>2.2.1</t>
  </si>
  <si>
    <t>AMORTIZACION</t>
  </si>
  <si>
    <t>2.2.2</t>
  </si>
  <si>
    <t>INTERESES</t>
  </si>
  <si>
    <t>2.5</t>
  </si>
  <si>
    <t>GASTOS DE INVERSION</t>
  </si>
  <si>
    <t>2.5.1</t>
  </si>
  <si>
    <t xml:space="preserve">S.G.P. EDUCACION  FORZOZA INVERSION </t>
  </si>
  <si>
    <t>2.5.1.1</t>
  </si>
  <si>
    <t xml:space="preserve">EDUCACION PROVISION DE LA CALIDAD EDUCATIVA </t>
  </si>
  <si>
    <t>2.5.1.1.1</t>
  </si>
  <si>
    <t>DOTACION DE MOBILIARIO Y MATERIAL DIDACTICO A LAS INSTITUCIONES Y CENTROS EDUCATIVOS</t>
  </si>
  <si>
    <t>2.5.1.1.1.1</t>
  </si>
  <si>
    <t>Dotacion de Moviiario y Equipo</t>
  </si>
  <si>
    <t>2.5.1.1.2</t>
  </si>
  <si>
    <t>PROVISION DE LA CANASTA EDUCATIVA</t>
  </si>
  <si>
    <t>2.5.1.1.2.1</t>
  </si>
  <si>
    <t>Canasta Educativa diferentes Instituciones y Centros Educativos del Municipio de Inzá</t>
  </si>
  <si>
    <t>2.5.1.1.3</t>
  </si>
  <si>
    <t>CONSTRUCCION Y MANTENIMIENTO DE LA INFRAESTRUCTURA INSTITUCIONES EDUCATIVAS</t>
  </si>
  <si>
    <t>2.5.1.1.3.1</t>
  </si>
  <si>
    <t>Construcción de la Infraestructura de las Instituciones Educativas del Municipio de Inzá</t>
  </si>
  <si>
    <t>2.5.1.1.3.2</t>
  </si>
  <si>
    <t>Mantenimiento de la Infraestructura de las Instituciones Educativas del Municipio de Inzá</t>
  </si>
  <si>
    <t>2.5.1.1.3.3</t>
  </si>
  <si>
    <t>Adecuación de la Infraestructura de las Instituciones Educativas del Municipio de Inzá</t>
  </si>
  <si>
    <t>2.5.1.1.3.4</t>
  </si>
  <si>
    <t>Estudios para la Infraestructura de las Instituciones Educativas</t>
  </si>
  <si>
    <t>2.5.1.1.4</t>
  </si>
  <si>
    <t>EVALUACION Y PROMOCION DE LA CALIDAD</t>
  </si>
  <si>
    <t>2.5.1.1.4.1</t>
  </si>
  <si>
    <t>Evaluacion y Promocion de la Calidad</t>
  </si>
  <si>
    <t>2.5.1.1.4.2</t>
  </si>
  <si>
    <t>Reconocimiento Mejor Bachiller del Municipio</t>
  </si>
  <si>
    <t>2.5.1.1.5</t>
  </si>
  <si>
    <t>TRANSPORTE ESCOLAR</t>
  </si>
  <si>
    <t>2.5.1.1.5.1</t>
  </si>
  <si>
    <t>Transporte Escolar para Garantizar el acceso y Permanencia</t>
  </si>
  <si>
    <t>2.5.1.1.6</t>
  </si>
  <si>
    <t>PROGRAMA ALIMENTACION ESCOLAR</t>
  </si>
  <si>
    <t>2.5.1.1.6.1</t>
  </si>
  <si>
    <t>Restaurantes Escolares</t>
  </si>
  <si>
    <t>2.5.1.1.7</t>
  </si>
  <si>
    <t>SERVICIOS PUBLICOS INST Y CENTROS EDUCATIVOS</t>
  </si>
  <si>
    <t>2.5.1.1.7.1</t>
  </si>
  <si>
    <t>Servicios Publicos</t>
  </si>
  <si>
    <t>2.5.1.1.8</t>
  </si>
  <si>
    <t>SERVICIOS DE GRATUIDAD EN LA EDUCACION A LAS INSTITUCIONES EDUCATIVAS DEL MUNICIPIO</t>
  </si>
  <si>
    <t>2.5.1.1.8.1</t>
  </si>
  <si>
    <t>Transferencia Servicios de la gratuidad en la Educacion a las Instituciuones Educativas del Municipi</t>
  </si>
  <si>
    <t>2.5.1.2</t>
  </si>
  <si>
    <t>OTRAS FUENTES (REGALIAS POR EXPLOTACION DE ORO)</t>
  </si>
  <si>
    <t>2.5.1.2.1</t>
  </si>
  <si>
    <t>Construcción y Mantenimiento de la infraesatructura de las Instituciones Educativas del Municipio de</t>
  </si>
  <si>
    <t>2.5.1.2.2</t>
  </si>
  <si>
    <t>Dotación mobiliario y equipo Institucviones Educativas del Municipio de Inzá</t>
  </si>
  <si>
    <t>2.5.6.1</t>
  </si>
  <si>
    <t>S.G.P. ALIMENTACION ESCOLAR FORSOZA INVERSION</t>
  </si>
  <si>
    <t>2.5.6.1.1</t>
  </si>
  <si>
    <t>RESTAURANTES ESCOLARES</t>
  </si>
  <si>
    <t>2.5.6.1.1.1</t>
  </si>
  <si>
    <t>Restaurantes Escolares Instituciones y Centros Educativos</t>
  </si>
  <si>
    <t>2.5.7.1.12</t>
  </si>
  <si>
    <t>EDUCACION</t>
  </si>
  <si>
    <t>2.5.7.1.12.1</t>
  </si>
  <si>
    <t>Instrucción Musical para las diversas Instituciones y Centros Educativos del Municipio</t>
  </si>
  <si>
    <t>2.5.7.3.11</t>
  </si>
  <si>
    <t>2.5.7.3.11.1</t>
  </si>
  <si>
    <t>2.5.2</t>
  </si>
  <si>
    <t>SALUD</t>
  </si>
  <si>
    <t>2.5.2.1</t>
  </si>
  <si>
    <t>S.G.P. SALUD FORSOZA INVERSION</t>
  </si>
  <si>
    <t>2.5.2.1.1</t>
  </si>
  <si>
    <t>REGIMEN SUBSIDIADO DE SEGURIDAD SOCIAL EN SALUD</t>
  </si>
  <si>
    <t>2.5.2.1.1.1</t>
  </si>
  <si>
    <t>Regimen Subsidiado Continuidad</t>
  </si>
  <si>
    <t>2.5.2.1.1.2</t>
  </si>
  <si>
    <t>Regimen Subsidiado Ampliacion</t>
  </si>
  <si>
    <t>2.5.2.2</t>
  </si>
  <si>
    <t>I.C.L.D. SALUD</t>
  </si>
  <si>
    <t>2.5.2.2.1</t>
  </si>
  <si>
    <t>2.5.2.2.2</t>
  </si>
  <si>
    <t>Cuota Supersalud (0,2)</t>
  </si>
  <si>
    <t>2.5.2.2.3</t>
  </si>
  <si>
    <t>Interventoria y Vigilancia para el Regimen Subsidiado  (0,4%)</t>
  </si>
  <si>
    <t>2.5.2.3</t>
  </si>
  <si>
    <t xml:space="preserve">OTRAS FUENTES </t>
  </si>
  <si>
    <t>2.5.2.3.01</t>
  </si>
  <si>
    <t>Rendimiento Financieros</t>
  </si>
  <si>
    <t>2.5.2.3.02</t>
  </si>
  <si>
    <t>Fosyga</t>
  </si>
  <si>
    <t>2.5.2.3.03</t>
  </si>
  <si>
    <t>Transferencia de ETESA</t>
  </si>
  <si>
    <t>2.5.2.3.04</t>
  </si>
  <si>
    <t>Departamento</t>
  </si>
  <si>
    <t>2.5.2.3.05</t>
  </si>
  <si>
    <t>Población Pobre No asegurada</t>
  </si>
  <si>
    <t>2.5.2.4</t>
  </si>
  <si>
    <t>SALUD PUBLICA</t>
  </si>
  <si>
    <t>2.5.2.4.1</t>
  </si>
  <si>
    <t>Acciones de Salud Publica y Ejecucion del Plan de Intervenciones Colectivas</t>
  </si>
  <si>
    <t>2.5.3</t>
  </si>
  <si>
    <t xml:space="preserve">AGUA POTABLE  Y SANEAMIENTO BASICO </t>
  </si>
  <si>
    <t>2.5.3.01</t>
  </si>
  <si>
    <t>S.G.P. FORSOZA INVERSION</t>
  </si>
  <si>
    <t>2.5.3.01.1</t>
  </si>
  <si>
    <t>DISEÑO E IMPLEMENTACIÓN DE ESQUEMAS ORGANIZACIONALES</t>
  </si>
  <si>
    <t>2.5.3.01.1.1</t>
  </si>
  <si>
    <t>Operación y administración de los servicios de acueducto, alcantarillado y aseo</t>
  </si>
  <si>
    <t>2.5.3.02</t>
  </si>
  <si>
    <t>TRATAMIENTO Y DISPOSICION FINAL DE RESIDUOS SOLIDOS</t>
  </si>
  <si>
    <t>2.5.3.02.1</t>
  </si>
  <si>
    <t>Tratamiento de residuos en Pedregal</t>
  </si>
  <si>
    <t>2.5.3.02.2</t>
  </si>
  <si>
    <t>Tratamiento de residuos en San Andrés</t>
  </si>
  <si>
    <t>2.5.3.02.3</t>
  </si>
  <si>
    <t>Tratamiento de residuos Turminá</t>
  </si>
  <si>
    <t>2.5.3.02.4</t>
  </si>
  <si>
    <t>Tratamiento y disposición final de residuos Cabecera Urbana de Inzá</t>
  </si>
  <si>
    <t>2.5.3.02.5</t>
  </si>
  <si>
    <t>Operación de la Volqueta encargada de la Recolección de Basuras en el Municipio de Inzá</t>
  </si>
  <si>
    <t>2.5.3.03</t>
  </si>
  <si>
    <t>CONSERVACION Y PROTECCION DE CUENCAS Y MICROCUENCAS</t>
  </si>
  <si>
    <t>2.5.3.03.1</t>
  </si>
  <si>
    <t>Conservacion y Proteccion de Cuencas y Microcuencas</t>
  </si>
  <si>
    <t>2.5.3.04</t>
  </si>
  <si>
    <t>CONSTRUCCION, AMPLIACION Y REHABILITACION DE ACUEDUCTOS</t>
  </si>
  <si>
    <t>2.5.3.04.1</t>
  </si>
  <si>
    <t>Construcción de Acueductos de la Cabecera Municipal, Corregimientos y Veredas del Municipio de Inzá</t>
  </si>
  <si>
    <t>2.5.3.04.2</t>
  </si>
  <si>
    <t>Ampliación de Acueductos de la Cabecera Municipal, corregimientos y veredas del Municipio de Inzá</t>
  </si>
  <si>
    <t>2.5.3.04.3</t>
  </si>
  <si>
    <t>Mejoramiento de Acueductos de la Cabecera Municipal, corregimientos y Veredas del Municipio de Inzá</t>
  </si>
  <si>
    <t>2.5.3.05</t>
  </si>
  <si>
    <t>PLAN DEPARTAMENTAL DE AGUAS</t>
  </si>
  <si>
    <t>2.5.3.05.1</t>
  </si>
  <si>
    <t>Finaciación y/o Cofinanciación Plan Departamental de Aguas</t>
  </si>
  <si>
    <t>2.5.3.06</t>
  </si>
  <si>
    <t>CONSTRUCCION, AMPLIACION Y REHABILITACION DE ALCANTARILLADOS</t>
  </si>
  <si>
    <t>2.5.3.06.1</t>
  </si>
  <si>
    <t xml:space="preserve">Construcción de Alcantarillados de la Cabecera Municipal, Corregimientos y Veredas del Municipio de </t>
  </si>
  <si>
    <t>2.5.3.06.2</t>
  </si>
  <si>
    <t>Ampliación de Alcantarillados de la Cabecera Municipal, corregimientos y veredas del Municipio de In</t>
  </si>
  <si>
    <t>2.5.3.06.3</t>
  </si>
  <si>
    <t xml:space="preserve">Mejoramiento de Alcantarillados de la Cabecera Municipal, corregimientos y Veredas del Municipio de </t>
  </si>
  <si>
    <t>2.5.3.07</t>
  </si>
  <si>
    <t>SANAMIENTO BASICO RURAL</t>
  </si>
  <si>
    <t>2.5.3.07.1</t>
  </si>
  <si>
    <t>Construcción de Baterias Sanitarias en  Corregimientos y Veredas del Municipio de Inzá</t>
  </si>
  <si>
    <t>2.5.3.07.2</t>
  </si>
  <si>
    <t>Ampliación de Baterias Sanitarias en Corregimientos y veredas del Municipio de Inzá</t>
  </si>
  <si>
    <t>2.5.3.07.3</t>
  </si>
  <si>
    <t>Mejoramiento de Baterias Sanitarias en Corregimientos y Veredas del Municipio de Inzá</t>
  </si>
  <si>
    <t>2.5.3.07.4</t>
  </si>
  <si>
    <t>Constrcción y Adecuación de las Infraestructuras de las Plazas de Mercado del Municipio de Inzá, con</t>
  </si>
  <si>
    <t>2.5.3.08</t>
  </si>
  <si>
    <t>ESTUDIOS Y PREINVERSION</t>
  </si>
  <si>
    <t>2.5.3.08.1</t>
  </si>
  <si>
    <t>Diseños y estudios en Acueductos</t>
  </si>
  <si>
    <t>2.5.3.08.2</t>
  </si>
  <si>
    <t>Diseño y estudios en Alcantarillados</t>
  </si>
  <si>
    <t>2.5.3.08.3</t>
  </si>
  <si>
    <t>Diseños y Estudios en Baterias Sanitarias</t>
  </si>
  <si>
    <t>2.5.3.08.4</t>
  </si>
  <si>
    <t>Interventorias en Acueductos</t>
  </si>
  <si>
    <t>2.5.3.08.5</t>
  </si>
  <si>
    <t>Interventorias en Alcantarillados</t>
  </si>
  <si>
    <t>2.5.3.08.6</t>
  </si>
  <si>
    <t>Interventoria en Baterias Sanitarias</t>
  </si>
  <si>
    <t>2.5.3.09</t>
  </si>
  <si>
    <t xml:space="preserve">SUBSIDIOS </t>
  </si>
  <si>
    <t>2.5.3.09.1</t>
  </si>
  <si>
    <t>Subsidios de Servicios Publicos de Acueducto, Alcantarillado y aseo, Cabecera Urbana</t>
  </si>
  <si>
    <t>2.5.3.10</t>
  </si>
  <si>
    <t>VERTIMIENTOS LIQUIDOS</t>
  </si>
  <si>
    <t>2.5.3.10.1</t>
  </si>
  <si>
    <t>Pago Tasa der Vertimientos Liquidos</t>
  </si>
  <si>
    <t>2.5.3.11</t>
  </si>
  <si>
    <t>2.5.3.11.1</t>
  </si>
  <si>
    <t>CONSTRUCCION Y PROTECCION DE CUENCAS Y MICROCUENCAS</t>
  </si>
  <si>
    <t>2.5.3.11.1.1</t>
  </si>
  <si>
    <t>Conservación y Proteción de cuencas y Microcuencas del Municipio de Inzá</t>
  </si>
  <si>
    <t>2.5.3.11.2</t>
  </si>
  <si>
    <t>SANEAMIENTO BASICO RURAL</t>
  </si>
  <si>
    <t>2.5.3.11.2.1</t>
  </si>
  <si>
    <t>Construcción, Ampliación y Mantenimiento de Baterias Sanitarias del Municipio de Inzá</t>
  </si>
  <si>
    <t>2.5.3.11.3</t>
  </si>
  <si>
    <t>OPERACIÓN VIVERO MUNICIPAL</t>
  </si>
  <si>
    <t>2.5.3.11.3.1</t>
  </si>
  <si>
    <t>Operación y Puesta en Marcha del Vivero Municipal</t>
  </si>
  <si>
    <t>2.5.3.11.4</t>
  </si>
  <si>
    <t>COFINANCIACION CORPORACION AUTONOMA REGIONAL DEL CAUCA</t>
  </si>
  <si>
    <t>2.5.3.11.4.1</t>
  </si>
  <si>
    <t>Construcción del Alcantarillado Sanitario y tratamiento de aguas residuales domesticas, resguardo in</t>
  </si>
  <si>
    <t>2.5.3.11.4.2</t>
  </si>
  <si>
    <t>Construcción, ajuste y actualización del sistema del Alcantarillado y tratamiento de Aguas Residuale</t>
  </si>
  <si>
    <t>2.5.3.11.5</t>
  </si>
  <si>
    <t>2.5.3.11.5.1</t>
  </si>
  <si>
    <t>2.5.3.11.5.2</t>
  </si>
  <si>
    <t>2.5.3.11.5.3</t>
  </si>
  <si>
    <t>2.5.4</t>
  </si>
  <si>
    <t>DEPORTE Y RECREACION</t>
  </si>
  <si>
    <t>2.5.4.1</t>
  </si>
  <si>
    <t>S.G.P. DEPORTE Y RECREACION FORSOZA INVERSION</t>
  </si>
  <si>
    <t>2.5.4.1.1</t>
  </si>
  <si>
    <t>CONSTRUCCION, ADECUACION, MANTENIMIENTO Y ADMINISTRACION DE ESCENARIOS DEPORTIVOS</t>
  </si>
  <si>
    <t>2.5.4.1.1.1</t>
  </si>
  <si>
    <t>Construcción de Escenarios Deportivos en Corregimientos y Veredas del Municipio de Inzá</t>
  </si>
  <si>
    <t>2.5.4.1.1.2</t>
  </si>
  <si>
    <t>Mantenimiento de Escenarios Deportivos en Corregimientos y Veredas del Municipio de Inzá</t>
  </si>
  <si>
    <t>2.5.4.1.1.3</t>
  </si>
  <si>
    <t>Adecuación de Escenarios Deportivos en Corregimientos y Veredas del Municipio</t>
  </si>
  <si>
    <t>2.5.4.1.2</t>
  </si>
  <si>
    <t>FOMENTO DE LA PRACTICA DEL DEPORTE Y LA RECREACION</t>
  </si>
  <si>
    <t>2.5.4.1.2.1</t>
  </si>
  <si>
    <t>Dotaciones para la practica del deporte y la recreacion</t>
  </si>
  <si>
    <t>2.5.4.1.2.2</t>
  </si>
  <si>
    <t>Escuelas de Formación Deportiva</t>
  </si>
  <si>
    <t>2.5.4.1.3</t>
  </si>
  <si>
    <t>APOYO A EVENTOS DEPORTIVOS</t>
  </si>
  <si>
    <t>2.5.4.1.3.1</t>
  </si>
  <si>
    <t>Apoyo a los Eventos Deportivos realizados en la Cabera Municipal, Corregimientos y Veredas del Munic</t>
  </si>
  <si>
    <t>2.5.4.2</t>
  </si>
  <si>
    <t>I.C.L.D. DEPORTE Y RECREACION</t>
  </si>
  <si>
    <t>2.5.4.2.1</t>
  </si>
  <si>
    <t>2.5.4.2.1.1</t>
  </si>
  <si>
    <t>2.5.4.2.1.2</t>
  </si>
  <si>
    <t>2.5.5</t>
  </si>
  <si>
    <t>CULTURA</t>
  </si>
  <si>
    <t>2.5.5.1</t>
  </si>
  <si>
    <t>S.G.P. CULTURA FORSOZA INVERSION</t>
  </si>
  <si>
    <t>2.5.5.1.1</t>
  </si>
  <si>
    <t xml:space="preserve">CONSTRUCCION, MANTENIMIENTO, SOSTENIMIENTO Y DOTACION DE LA INFRAESTRUCTURA CULTURAL </t>
  </si>
  <si>
    <t>2.5.5.1.1.1</t>
  </si>
  <si>
    <t>Casa de la Cultura Cabecera Municipal</t>
  </si>
  <si>
    <t>2.5.5.1.1.2</t>
  </si>
  <si>
    <t>Casa de la Cultura del Corregimiento de San Andres</t>
  </si>
  <si>
    <t>2.5.5.1.1.3</t>
  </si>
  <si>
    <t>Enlace Actuvidades Culturales Municipio</t>
  </si>
  <si>
    <t>2.5.5.1.2</t>
  </si>
  <si>
    <t>PROGRAMAS Y EVENTOS ARTISTICOS Y CULTURALES</t>
  </si>
  <si>
    <t>2.5.5.1.2.1</t>
  </si>
  <si>
    <t>Fomento cultural de Inzá Como Patrimonio Historico y Cultural de la Humanidad</t>
  </si>
  <si>
    <t>2.5.5.1.2.2</t>
  </si>
  <si>
    <t>Programas y Eventos Artisticos y Culturales en la Cabecera Municipal, Corregimientos y Veredas del M</t>
  </si>
  <si>
    <t>2.5.5.1.3</t>
  </si>
  <si>
    <t>FOMENTO A LA CREACION Y PRODUCCION ARTISTICO Y CULTURAL</t>
  </si>
  <si>
    <t>2.5.5.1.3.1</t>
  </si>
  <si>
    <t xml:space="preserve">Escuela de Formación Musical </t>
  </si>
  <si>
    <t>2.5.5.1.3.2</t>
  </si>
  <si>
    <t>Apoyo al desarrollo de Bandas, Orquesas y Grupos musicales</t>
  </si>
  <si>
    <t>2.5.5.2</t>
  </si>
  <si>
    <t>I.C.L.D. CULTURA</t>
  </si>
  <si>
    <t>2.5.5.2.1</t>
  </si>
  <si>
    <t>2.5.5.2.1.1</t>
  </si>
  <si>
    <t>2.5.5.2.2</t>
  </si>
  <si>
    <t>2.5.5.2.2.1</t>
  </si>
  <si>
    <t>2.5.7.1.01</t>
  </si>
  <si>
    <t>PREVENCION Y ATENCION DE DESASTRES</t>
  </si>
  <si>
    <t>2.5.7.1.01.1</t>
  </si>
  <si>
    <t>Prevención y atención de desastres y emergencias</t>
  </si>
  <si>
    <t>2.5.7.1.01.2</t>
  </si>
  <si>
    <t>Apoyo a Grupos de Socorro del Municipio de Inzá</t>
  </si>
  <si>
    <t>2.5.7.3.01</t>
  </si>
  <si>
    <t>2.5.7.3.01.1</t>
  </si>
  <si>
    <t>Prevencion y Atencion de Desastres</t>
  </si>
  <si>
    <t>2.5.7.1.02</t>
  </si>
  <si>
    <t>SECTOR AGROPECUARIO</t>
  </si>
  <si>
    <t>2.5.7.1.02.1</t>
  </si>
  <si>
    <t>Pago personal operativo Asistencia Tecnica Agropecuaria</t>
  </si>
  <si>
    <t>2.5.7.1.02.2</t>
  </si>
  <si>
    <t>Apoyo a los Proyectos Productivos Rurales</t>
  </si>
  <si>
    <t>2.5.7.1.02.3</t>
  </si>
  <si>
    <t>Proyectos de Desarrollo</t>
  </si>
  <si>
    <t>2.5.7.1.10</t>
  </si>
  <si>
    <t>PROMOCION DEL DESARROLLO</t>
  </si>
  <si>
    <t>2.5.7.1.10.1</t>
  </si>
  <si>
    <t>Capacitación y Asesoria Empresarial</t>
  </si>
  <si>
    <t>2.5.7.3.02</t>
  </si>
  <si>
    <t>2.5.7.3.02.1</t>
  </si>
  <si>
    <t>Asistencia Tecnica Agropecuaria</t>
  </si>
  <si>
    <t>2.5.7.3.02.2</t>
  </si>
  <si>
    <t>2.5.7.1.03</t>
  </si>
  <si>
    <t>FORTALECIMIENTO INSTITUCIONAL</t>
  </si>
  <si>
    <t>2.5.7.1.03.1</t>
  </si>
  <si>
    <t xml:space="preserve">Pago de personal apoyo administrativo </t>
  </si>
  <si>
    <t>2.5.7.1.03.2</t>
  </si>
  <si>
    <t>Implementación de sistemas y Compra de Equipos para mejorar la gestión</t>
  </si>
  <si>
    <t>2.5.7.1.03.3</t>
  </si>
  <si>
    <t>Fortalecimiento Institucional</t>
  </si>
  <si>
    <t>2.5.7.3.03</t>
  </si>
  <si>
    <t>2.5.7.3.03.1</t>
  </si>
  <si>
    <t>2.5.7.3.03.2</t>
  </si>
  <si>
    <t>2.5.7.3.03.3</t>
  </si>
  <si>
    <t>2.5.7.1.04</t>
  </si>
  <si>
    <t>EQUIPAMENTO MUNICIPAL</t>
  </si>
  <si>
    <t>2.5.7.1.04.1</t>
  </si>
  <si>
    <t>Construcción, ampliación y mantenimiento de mataderos</t>
  </si>
  <si>
    <t>2.5.7.1.04.2</t>
  </si>
  <si>
    <t>Construcción de Escenarios y Edificaciones del Municipio de Inzá</t>
  </si>
  <si>
    <t>2.5.7.1.04.3</t>
  </si>
  <si>
    <t>Mantenimiento de Escenarios y Edificaciones del Municipio de Inzá</t>
  </si>
  <si>
    <t>2.5.7.3.04</t>
  </si>
  <si>
    <t>2.5.7.3.04.1</t>
  </si>
  <si>
    <t>Construcción, ampliacion y manteniminto  de Escenarios y Edificaciones del Municipio de Inzá Cauca</t>
  </si>
  <si>
    <t>2.5.7.2.3</t>
  </si>
  <si>
    <t>2.5.7.2.3.1</t>
  </si>
  <si>
    <t>2.3.1.1.01</t>
  </si>
  <si>
    <t>Construccion Galeria Pedregal y Segunda Etapa galeria Inza</t>
  </si>
  <si>
    <t>2.5.7.1.05</t>
  </si>
  <si>
    <t>ENERGIA ELECTRICA</t>
  </si>
  <si>
    <t>2.5.7.1.05.1</t>
  </si>
  <si>
    <t>Construcción, extensión de Redes eléctricas o sistemas energéticos alternativos en la Cabecera Munic</t>
  </si>
  <si>
    <t>2.5.7.1.05.2</t>
  </si>
  <si>
    <t>Mantenimiento, extensión de Redes eléctricas o sistemas energéticos alternativos en la Cabecera Muni</t>
  </si>
  <si>
    <t>2.5.7.1.05.3</t>
  </si>
  <si>
    <t>Mantenimiento Alumbrado Público</t>
  </si>
  <si>
    <t>2.5.7.2.2</t>
  </si>
  <si>
    <t>ELECTRIFICACION</t>
  </si>
  <si>
    <t>2.5.7.2.2.1</t>
  </si>
  <si>
    <t>2.5.7.3.05</t>
  </si>
  <si>
    <t>2.5.7.3.05.1</t>
  </si>
  <si>
    <t>2.5.7.3.05.2</t>
  </si>
  <si>
    <t>2.5.7.3.05.3</t>
  </si>
  <si>
    <t>2.5.7.3.10</t>
  </si>
  <si>
    <t>MEDIO AMBIENTE</t>
  </si>
  <si>
    <t>2.5.7.3.10.1</t>
  </si>
  <si>
    <t>Adquisición de áreas de interés para acueductos Municipales</t>
  </si>
  <si>
    <t>2.6.03</t>
  </si>
  <si>
    <t>2.6.04</t>
  </si>
  <si>
    <t>2.6.05</t>
  </si>
  <si>
    <t>2.6.06</t>
  </si>
  <si>
    <t>2.5.7.1.06</t>
  </si>
  <si>
    <t>VIVIENDA</t>
  </si>
  <si>
    <t>2.5.7.1.06.1</t>
  </si>
  <si>
    <t>Mejoramiento de Viviendas en la Cabecera Municipal, Corregimientos y Veredas del Municipio de Inzá</t>
  </si>
  <si>
    <t>2.5.7.3.06</t>
  </si>
  <si>
    <t>2.5.7.3.06.1</t>
  </si>
  <si>
    <t>Programa de rehabilitación y mejoramiento de vivienda</t>
  </si>
  <si>
    <t>2.5.7.1.07</t>
  </si>
  <si>
    <t>DESARROLLO COMUNITARIO</t>
  </si>
  <si>
    <t>2.5.7.1.07.1</t>
  </si>
  <si>
    <t>Promotorias de Juntas de Accion Comunal</t>
  </si>
  <si>
    <t>2.5.7.1.07.2</t>
  </si>
  <si>
    <t>Actividades de Divulgación</t>
  </si>
  <si>
    <t>2.5.7.3.08</t>
  </si>
  <si>
    <t>2.5.7.3.08.1</t>
  </si>
  <si>
    <t xml:space="preserve">Programas de Desarrollo Comunitario </t>
  </si>
  <si>
    <t>2.5.7.1.08</t>
  </si>
  <si>
    <t>JUSTICIA</t>
  </si>
  <si>
    <t>2.5.7.1.08.1</t>
  </si>
  <si>
    <t>Inspecciones de Policía</t>
  </si>
  <si>
    <t>2.5.7.1.08.2</t>
  </si>
  <si>
    <t>Comisarias de Familia</t>
  </si>
  <si>
    <t>2.5.7.1.08.3</t>
  </si>
  <si>
    <t>Actividades de Protección y de Seguridad Ciudadana</t>
  </si>
  <si>
    <t>2.5.7.2.1</t>
  </si>
  <si>
    <t>2.5.7.2.1.1</t>
  </si>
  <si>
    <t>Programa de Proteccion y Seguridad Ciudadana</t>
  </si>
  <si>
    <t>2.5.7.1.09</t>
  </si>
  <si>
    <t>ATENCION GRUPOS VULNERABLES</t>
  </si>
  <si>
    <t>2.5.7.1.09.1</t>
  </si>
  <si>
    <t>Programa Adulto Mayor</t>
  </si>
  <si>
    <t>2.5.7.3.07.1</t>
  </si>
  <si>
    <t>2.5.7.1.09.2</t>
  </si>
  <si>
    <t>Poblacion Desplazada</t>
  </si>
  <si>
    <t>2.5.7.3.07.2</t>
  </si>
  <si>
    <t>2.5.7.1.09.3</t>
  </si>
  <si>
    <t>Poblacion Infantil</t>
  </si>
  <si>
    <t>2.5.7.3.07.3</t>
  </si>
  <si>
    <t>2.5.7.1.09.4</t>
  </si>
  <si>
    <t>Madres Cabeza de Hogar</t>
  </si>
  <si>
    <t>2.5.7.3.07.4</t>
  </si>
  <si>
    <t>2.5.7.1.09.5</t>
  </si>
  <si>
    <t>Programa Familias en Acción</t>
  </si>
  <si>
    <t>2.5.7.3.07.5</t>
  </si>
  <si>
    <t>Programa de Familias en Acción</t>
  </si>
  <si>
    <t>2.5.7.1.09.6</t>
  </si>
  <si>
    <t>Programas de Apoyo a Infancia, Adolescencia y Juventud</t>
  </si>
  <si>
    <t>2.5.7.3.07.6</t>
  </si>
  <si>
    <t>Programas de Apoyo a la Primera Infancia, Adolescencia y Juventud</t>
  </si>
  <si>
    <t>2.5.7.2.4.1</t>
  </si>
  <si>
    <t>Discapacitados (40% PRODESARROLLO)</t>
  </si>
  <si>
    <t>2.5.7.1.11</t>
  </si>
  <si>
    <t>TRANSPORTE - VIAS URBANAS Y RURALES</t>
  </si>
  <si>
    <t>2.5.7.1.11.1</t>
  </si>
  <si>
    <t>Mantenimiento, mejoramiento y Adecuación de las Vias del Municipio de Inzá</t>
  </si>
  <si>
    <t>2.5.7.1.11.2</t>
  </si>
  <si>
    <t xml:space="preserve">Pago del Personal operativo encargado del Mantenimiento </t>
  </si>
  <si>
    <t>2.5.7.3.09</t>
  </si>
  <si>
    <t>TRANSPORTE</t>
  </si>
  <si>
    <t>2.5.7.3.09.1</t>
  </si>
  <si>
    <t>Mantenimiento y Reparación del parque Automotor del Municipio</t>
  </si>
  <si>
    <t>2.5.7.3.09.2</t>
  </si>
  <si>
    <t>Combustible para el Parque Automotor del Municipìo</t>
  </si>
  <si>
    <t>2.5.7.3.09.3</t>
  </si>
  <si>
    <t>Mantenimiento, Mejoramiento y Adecuación de Vías Terciarias del Municipio de Inzá</t>
  </si>
  <si>
    <t>RECAUDO A FAVOR DE TERCEROS</t>
  </si>
  <si>
    <t>1.2.11</t>
  </si>
  <si>
    <t>2.6.01</t>
  </si>
  <si>
    <t>RECAUDO A FAVOR DE TERCEROS  C.R.C (1.5/1000 PREDIAL)</t>
  </si>
  <si>
    <t>2.6</t>
  </si>
  <si>
    <t>FONDOS Y CUENTAS ESPECIALES</t>
  </si>
  <si>
    <t>Resguardos Indigenas</t>
  </si>
  <si>
    <t>Interventoria y Vigilancia para el Régimen Subsidiado</t>
  </si>
  <si>
    <t>PROYECCION PRESUPUESTAL DE GASTOS SEGÚN CODIFICACION PRESUPUESTAL</t>
  </si>
  <si>
    <t>TOTAL VALOR DEL PLAN</t>
  </si>
  <si>
    <t>CONCEPTOS</t>
  </si>
  <si>
    <t>VALORES</t>
  </si>
  <si>
    <t>RESUMEN</t>
  </si>
  <si>
    <t>SUBTOTAL</t>
  </si>
  <si>
    <t>2. EJE ESTRATEGICO DE INFRAESTRUCTURA Y TERRITORIO</t>
  </si>
  <si>
    <t>3. EJE ESTRATEGICO  ECONOMICO Y MEDIO AMBIENTE</t>
  </si>
  <si>
    <t>GESTION DEL RIESGO</t>
  </si>
  <si>
    <t>DESARROLLO INSTTITUCIONAL</t>
  </si>
  <si>
    <t>SEGURIDAD CIUDADANA</t>
  </si>
  <si>
    <t>8. VIAS Y TRANSPORTE</t>
  </si>
  <si>
    <t>mejoramiento redes electricas</t>
  </si>
  <si>
    <t>9. EJE ECONOMICO Y MEDIO AMBIENTE</t>
  </si>
  <si>
    <t>GOBERNABILIDAD, DEMOCRACIA, SEGURIDAD Y DESARROLLO INSTITUCIONAL</t>
  </si>
  <si>
    <t>Seguridad y Conviviencia ciudadana</t>
  </si>
  <si>
    <t>Desarrollo comunitario y participación ciudadana</t>
  </si>
  <si>
    <t>Fortalecimiento administrativo</t>
  </si>
  <si>
    <t>Prevención y Atencion de Desastres</t>
  </si>
  <si>
    <t>Viviendas para población vulnerable</t>
  </si>
  <si>
    <t>1.SECTOR SALUD</t>
  </si>
  <si>
    <t>2. VIAS</t>
  </si>
  <si>
    <t>3. ELECTRIFICACION</t>
  </si>
  <si>
    <t>4. EQUIPAMIENTO</t>
  </si>
  <si>
    <t>1. SECTOR AGROPECUARIO</t>
  </si>
  <si>
    <t>2. TURISMO</t>
  </si>
  <si>
    <t>3. MEDIO AMBIENTE</t>
  </si>
  <si>
    <t>EJE ESTRATEGICO</t>
  </si>
  <si>
    <t>SECTOR</t>
  </si>
  <si>
    <t>SUBPROGRAMA</t>
  </si>
  <si>
    <t>2. SECTOR EDUCACION</t>
  </si>
  <si>
    <t>SUBTOTAL EJE SOCIAL</t>
  </si>
  <si>
    <t>MATRIZ PLURIANUAL</t>
  </si>
  <si>
    <t>SUBTOTAL EJE INFRAESTRUCTURA</t>
  </si>
  <si>
    <t>SUBTOTAL EJE ECONOMICO Y AMBIENTAL</t>
  </si>
  <si>
    <t>SUBTOTAL EJE GOBERNABILIDAD SEGURIDAD Y DESARROLLO INST.</t>
  </si>
  <si>
    <t>CONSTRUYENDO UN INZA SALUDABLE PARA LA GENTE</t>
  </si>
  <si>
    <t>EDUCACIÓN CON PERTINENCIA, EQUIDAD Y  CALIDAD PARA LA COBERTURA TOTAL</t>
  </si>
  <si>
    <t xml:space="preserve">Gestion del Riesgo </t>
  </si>
  <si>
    <t>Con prevención y atención construimos salud para la gente</t>
  </si>
  <si>
    <t>Continuidad en la afiliación al régimen subsidiado en salud</t>
  </si>
  <si>
    <t>Envejecimiento activo</t>
  </si>
  <si>
    <t>Diversidad funcional</t>
  </si>
  <si>
    <t>Atención integral a la población en situación  de desplazamiento.</t>
  </si>
  <si>
    <t xml:space="preserve">Dotación material didactico, textos, equipos y mantenimiento y apoyos educativos </t>
  </si>
  <si>
    <t>Adecuación, mejoramiento y construcción de la infraestructura educativa</t>
  </si>
  <si>
    <t>Apoyo para el acceso y la permanencia al sistema educativo.</t>
  </si>
  <si>
    <r>
      <t>RECURSOS CON   PROBABILIDAD DE CONSECU</t>
    </r>
    <r>
      <rPr>
        <b/>
        <i/>
        <sz val="10"/>
        <color indexed="8"/>
        <rFont val="Arial"/>
        <family val="2"/>
      </rPr>
      <t>C</t>
    </r>
    <r>
      <rPr>
        <b/>
        <sz val="10"/>
        <color indexed="8"/>
        <rFont val="Arial"/>
        <family val="2"/>
      </rPr>
      <t>IÓN</t>
    </r>
  </si>
  <si>
    <t xml:space="preserve">DESCRIPCION </t>
  </si>
  <si>
    <r>
      <t xml:space="preserve">Recursos para adelantar proyectos de mejoramiento de vivienda " </t>
    </r>
    <r>
      <rPr>
        <b/>
        <sz val="10"/>
        <color indexed="8"/>
        <rFont val="Arial"/>
        <family val="2"/>
      </rPr>
      <t>banco de materiales "</t>
    </r>
  </si>
  <si>
    <t>Compra de maquinaria (recursos del crédito)</t>
  </si>
  <si>
    <t xml:space="preserve"> PROYECCIÓN DE LOS INGRESOS  Y  GASTOS  2012 AL 2015.</t>
  </si>
  <si>
    <t>EJE ESTRATEGICO SOCIAL: BIENESTAR, INCLUSION Y DESARROLLO HUMANO PARA LA GENTE</t>
  </si>
  <si>
    <t xml:space="preserve">Sensibilización, promoción y difución de los derechos de los niños, niñas, jovenes y adolescentes </t>
  </si>
  <si>
    <t>TOTAL SECTOR SALUD</t>
  </si>
  <si>
    <t>TOTAL SECTOR EDUCACION</t>
  </si>
  <si>
    <t>Apoyo para la calidad a las instituciones educativas.</t>
  </si>
  <si>
    <t>Dotación material didáctico, textos, equipos y mentenimiento y apoyos educativos para la ciencia, la tecnología, y la innovación</t>
  </si>
  <si>
    <t>INVERSION ANUAL</t>
  </si>
  <si>
    <t>PROGRAMA: INZA DEPORTIVO Y RECREATIVO UNA ESTRATEGIA POR EL RESPETO A LA VIDA Y EL BIENESTAR DE LA GENTE</t>
  </si>
  <si>
    <t>Desarrollo Institucional programatico y participativo para el deporte y la Recreación</t>
  </si>
  <si>
    <t>Deporte y recreación incluyente por la vida, el bienestar y la convivencia para la gente</t>
  </si>
  <si>
    <t>Construcción, mejoramiento y adecuación de escenarios deportivos para le gente</t>
  </si>
  <si>
    <t>Ahora le toca a la gente destacarse en la disciplina deportiva de su especialidad</t>
  </si>
  <si>
    <t>3.   RECREACION  Y DEPORTES</t>
  </si>
  <si>
    <t>Fortalecimiento de la cultura, las expresiones y manifestaciones artísticas y culturales de la gente del municipio de Inzá.</t>
  </si>
  <si>
    <t>PROGRAMA: RESCATANDO LOS VALORES ARTISTICOS Y CULTURALES DE NUESTRO MUNICIPIO</t>
  </si>
  <si>
    <t>Fortalecimiento y dotación de las bibliotecas municipales</t>
  </si>
  <si>
    <t xml:space="preserve">4. CULTURA Y TURISMO </t>
  </si>
  <si>
    <t xml:space="preserve">TOTAL SECTOR DEPORTES, RECREACION, CULTURA Y TURISMO </t>
  </si>
  <si>
    <t>SUBTOTAL DEPORTE</t>
  </si>
  <si>
    <t>PROGRAMA: TURISMO ARQUEOLOGICO Y ECOLOGICO DE INZA PARA LA GENTE DE COLOMBIA Y EL  MUNDO</t>
  </si>
  <si>
    <t>Promoción y divulgación del potencial turistico del municipio</t>
  </si>
  <si>
    <t>5. VIVIENDA</t>
  </si>
  <si>
    <t>PROGRAMA: VIVIENDA DIGNA PARA LA GENTE</t>
  </si>
  <si>
    <t xml:space="preserve">Construcción y mejoramiento de vivienda digna para la población urbana y rural ubicada en zona de alto riesgo y población urbana y rural ubicada en zona de alto riesgo y población indígena y sisbenizada en los niveles uno y dos del sisben </t>
  </si>
  <si>
    <t>PROGRAMA:LA FAMILIA COMO EJE CENTRAL DE DESARROLLO DE LA GENTE</t>
  </si>
  <si>
    <t>Niñez, infancia y adolescencia</t>
  </si>
  <si>
    <t>Red de atención integral a al familia</t>
  </si>
  <si>
    <t>ATENCIÓN INTEGRAL A LA POBLACIÓN VULNERABLE O EN RIESGO</t>
  </si>
  <si>
    <t>6. NIÑEZ, INFANCIA Y ADOLECENCIA  EN INZA</t>
  </si>
  <si>
    <t>7. POBLACION VULNERABLE</t>
  </si>
  <si>
    <t>Atención Integral a la familia</t>
  </si>
  <si>
    <t>Atención a la población especial en situacion de discapacidad</t>
  </si>
  <si>
    <t>Población en situación de desplazamiento forzado, víctimas de la violencia</t>
  </si>
  <si>
    <t>Atención Integral al adulto mayor</t>
  </si>
  <si>
    <t xml:space="preserve">Equidad de Género </t>
  </si>
  <si>
    <t>Equidad de Género</t>
  </si>
  <si>
    <t>TOTAL NIÑEZ, INFANCIA ADOLESCENCIA Y POBLACION VULNERABLE</t>
  </si>
  <si>
    <t>PROGRAMA: CALIDAD Y EFICIENCIA EN LOS SERVICIOS PÚBLICOS PARA LA GENTE</t>
  </si>
  <si>
    <t xml:space="preserve"> 1:AGUA POTABLE Y SANEAMIENTO BASICO Y GAS DOMICILIARIO</t>
  </si>
  <si>
    <t>CONSTRUCCION, AMPLIACIÓN  Y MEJORAMIENTO DE LOS SISTEMAS DE MANEJO DE AGUAS RESIDUALES  DE LA ZONA RURAL Y CENTROS POBLADOS RURALES</t>
  </si>
  <si>
    <t>MANEJO DE RESIDUOS SOLIDOS EN EL MUNICIPIO DE INZÁ</t>
  </si>
  <si>
    <t>GAS DOMICILIARIO PARA LA GENTE DEL MUNICIPIO DE INZA</t>
  </si>
  <si>
    <t>FORTALECIMIENTO INSTITUCIONAL PAR LAS JUNTAS ADMINISTRADORAS DE ACUEDUCTO Y ALCANTARILLADO DE LAS ZONAS RURALES Y CENTROS POBLADOS</t>
  </si>
  <si>
    <t>SUBTOTAL VIAS</t>
  </si>
  <si>
    <t xml:space="preserve">3.  AGUA POTABLE Y SANEAMIENTO BASICO </t>
  </si>
  <si>
    <t>CONSTRUCCION, AMPLIACIÓN  Y MEJORAMIENTO DE LOS SISTEMAS DE MANEJO ( PTAR, alcantarillados y pozos septicos), DE AGUAS RESIDUALES  DE LA ZONA RURAL Y CENTROS POBLADOS RURALES</t>
  </si>
  <si>
    <t>FORTALECIMIENTO DESARROLLO, COBERTURA Y CALIDAD  DEL AGUA (Potabilización), Y DE LAS REDES  Y SISTEMAS DE ACUEDUCTO  DEL LA ZONA RURAL Y CENTROS POBLADOS DEL MUNICIPIO DE INZA</t>
  </si>
  <si>
    <t>FORTALECIMIENTO DESARROLLO, COBERTURA Y CALIDAD DEL AGUA (potabilización), DE LAS REDES  Y SISTEMAS DE ACUEDUCTO  DEL LA ZONA RURAL Y CENTROS POBLADOS DEL MUNICIPIO DE INZA</t>
  </si>
  <si>
    <t>VIAS Y TRANSPORTE POR LA INTEGRACIÓN, LA PROSPERIDAD Y LA PAZ PARA LA GENTE</t>
  </si>
  <si>
    <t>Construcción y mejoramiento de de vías  urbanas y rurales;  puentes  de la red terciaria del municipio</t>
  </si>
  <si>
    <t>AMPLIACION Y MEJORAMIENTO DE LOS SERVICIOS  DE ELECTRIFICACION PARA LA GENTE</t>
  </si>
  <si>
    <t xml:space="preserve">INZA CONECTADO AL SISTEMA DE INTERCONEXIÓN ELECTRICO CON CALIDAD </t>
  </si>
  <si>
    <t>SUBTOTAL ELECTRIFICACION</t>
  </si>
  <si>
    <t>SUBTOTAL EQUIPAMENTO MUNICIPAL</t>
  </si>
  <si>
    <t>INFRAESTRUCTURA, EQUIPAMENTO Y ESPACIOS PARA LA GENTE</t>
  </si>
  <si>
    <t>CONSTRUCCIÓN, ADECUACIÓN Y AMPLIACIÓN DEL LA INFRAESTRUCTURA MUNICIPAL</t>
  </si>
  <si>
    <t>ADECUACIÓN, AMPLIACIÓN Y MEJORAMIENTO DEL ESPACIO PÚBLICO</t>
  </si>
  <si>
    <t>CONSTRUCCIÓN, ADECUACIÓN Y AMPLIACIÓN DEL LA INFRAESTRUCTURA MUNICIPAL Y DOTACION DE EQUIPOS</t>
  </si>
  <si>
    <t>PREVENCION Y ATENCION DE DESASTRES  (Gestión del riesgo)</t>
  </si>
  <si>
    <t>PREVENCIÓN Y ATENCIÓN DE EMERGENCIAS Y DESASTRES</t>
  </si>
  <si>
    <t xml:space="preserve">GESTION DEL RIESGO </t>
  </si>
  <si>
    <t>GESTION DEL RIESGO Y PREVENCION Y ATENCION DE DESASTRES</t>
  </si>
  <si>
    <t>INZA PRODUCTIVO,  COMPETITIVO Y SOSTENIBLE PARA LA SUPERACION DE LA POBREZA Y EL DESARROLLO INTEGRAL  DE LA GENTE DE INZA.</t>
  </si>
  <si>
    <t>DESARROLLO PRODUCTIVO, COMPETITIVO YSOSTENIBLE PARA UN MUNICIPIO DE VOCACION  AGROPECUARIA INCLUYENTE Y GENERADOR  OPORTUNIDADES PARA LA  GENTE.</t>
  </si>
  <si>
    <t>PROMOCIÓN DEL DESARROLLO SOCIO ECONÓMICO DEL MUNICIPIO DE INZÁ</t>
  </si>
  <si>
    <t>INGRESO Y TRABAJO PARA LAS FAMILIAS RED UNIDOS</t>
  </si>
  <si>
    <t>INZA “PATRIMONIO HISTORICO Y CULTURAL DE LA HUMANIDAD” DESTINO TURSITICO NACIONAL E INTERNACIONAL</t>
  </si>
  <si>
    <t>INZA TURISTICA Y GENERANDO  OPORTUNIDADES PARA LA GENTE</t>
  </si>
  <si>
    <t>CAPACITACION Y FORTALECIMIENTO DE MICROEMPRESAS  ARTESANALES</t>
  </si>
  <si>
    <t>Medio ambiente</t>
  </si>
  <si>
    <t>FORMULACION DEL PLAN AMBIENTAL MUNICIPAL</t>
  </si>
  <si>
    <t>MANEJO INTEGRAL DE ECOSISTEMAS NATURALES Y HABITAT</t>
  </si>
  <si>
    <t>MANEJO Y APROVECHAMIENTO DE LAS CUENCAS HIDROGRAFICAS DEL MUNICIPIO</t>
  </si>
  <si>
    <t>EDUCACION AMBIENTAL</t>
  </si>
  <si>
    <t>PROMOCION DEL ECOTURISMO Y EL AGROTURISMO</t>
  </si>
  <si>
    <t>ESCUELAS AGROAMBIENTALES</t>
  </si>
  <si>
    <t>Promoción del Desarrollo</t>
  </si>
  <si>
    <t>PROGRAMA:UN AMBIENTE SANO Y SOSTENIBLE QUE GARANTICE LA CALIDAD DE VIDA A LAS FUTURAS GENERACIONES</t>
  </si>
  <si>
    <t xml:space="preserve">EJE ESTRATEGICO: GOBERNABILIDAD, PARTICIPACION,
SEGURIDAD Y DESARROLLO INSTITUCIONAL
</t>
  </si>
  <si>
    <t>SEGURIDAD Y CONVIVENCIA CIUDADANA PARA LA GENTE</t>
  </si>
  <si>
    <t>PREVENCIÓN DE LA VIOLENCIA, LA INSEGURIDAD, MANTENER EL ORDEN PÚBLICO  Y PROMOCIÓN DE LA CONVIVENCIA Y PROTECCIÓN DE LOS DERECHOS HUMANOS –DDHH DE LA GENTE</t>
  </si>
  <si>
    <t>LA CIUDADANIA DE INZA PARTICIPATIVA, DEMOCRATICA Y PROTAGONISTA DE SU DESARROLLO</t>
  </si>
  <si>
    <t>PARTICIPACION PARA EL DESARROLLO MUNICIPAL</t>
  </si>
  <si>
    <t>EDUCACIÓN CIUDADANA Y CULTURA POLÍTICO – ADMINISTRATIVA</t>
  </si>
  <si>
    <t>CAPACIDAD INSTITUCIONAL</t>
  </si>
  <si>
    <t>LA GESTION FISCAL</t>
  </si>
  <si>
    <t>CAPITAL</t>
  </si>
  <si>
    <t>EQUIPAMIENTO Y ESPACIO PUBLICO</t>
  </si>
  <si>
    <t>SUBTOTAL AGUA POTABLE, SANEAMIENTO BASICO Y GAS DOMICILIARIO</t>
  </si>
  <si>
    <t>SERVICIO DE LA DEUDA</t>
  </si>
  <si>
    <t xml:space="preserve">AMORTIZACION </t>
  </si>
  <si>
    <t>CUADRO RESUMEN EXPLICATIVO DE LOS COMPONENTES Y DEDUCCIONES PARA LA MATRIZ DE INVERSION</t>
  </si>
  <si>
    <t>PLAN DE DESARROLLO "AHORA LE TOCA A LA GENTE"  2012 - 2015</t>
  </si>
  <si>
    <t>MUNICIPIOP DE INZA</t>
  </si>
  <si>
    <t>Población UNIDOS (Población en extrema pobreza)</t>
  </si>
  <si>
    <t>Pavimentación vía Crucero Cedrales San Andrés de Pisimbalá</t>
  </si>
  <si>
    <t xml:space="preserve">MEJORAMIENTO DE PROCESOS </t>
  </si>
  <si>
    <t>CUADRO ANEX0  01</t>
  </si>
  <si>
    <t>total programa 1</t>
  </si>
  <si>
    <t>Total programa 1</t>
  </si>
  <si>
    <t>ponderado</t>
  </si>
  <si>
    <t>total programa 2</t>
  </si>
  <si>
    <t>2. PROTECCIÓN INTEGRAL A LA NIÑEZ, INFANCIA Y ADOLESCENCIA EN EL MUNICIPIO  DE  INZA</t>
  </si>
  <si>
    <t>3. POBLACIÓN VULNERABLE</t>
  </si>
  <si>
    <t>total programa 3</t>
  </si>
  <si>
    <t>total prgrama 2</t>
  </si>
  <si>
    <t>SUBTOTAL SECTOR CULTURA Y TURISMO</t>
  </si>
  <si>
    <t>TOTAL SECTOR VIVIENDA</t>
  </si>
  <si>
    <t>TOTAL SECTOR NIÑEZ</t>
  </si>
  <si>
    <t>TOTAL SECTOR POBLACION VULNERABLE</t>
  </si>
  <si>
    <t>Ponderado</t>
  </si>
  <si>
    <t>total, programa 1</t>
  </si>
  <si>
    <t>Programa 1</t>
  </si>
  <si>
    <t>PONDERADO</t>
  </si>
  <si>
    <t>TOTAL SECTOR</t>
  </si>
  <si>
    <t>TOTAL PROGRAMA</t>
  </si>
  <si>
    <t>TOTALO SECTOR</t>
  </si>
  <si>
    <t>PROGRAMAN 1</t>
  </si>
  <si>
    <t>TOTAL PROGRAMA 1</t>
  </si>
  <si>
    <t/>
  </si>
  <si>
    <t>2.5.2.1.2</t>
  </si>
  <si>
    <t>SANEAMIENTO CUENTA MAESTRA REGIMEN SUBSIDIADO</t>
  </si>
  <si>
    <t>2.5.2.1.2.1</t>
  </si>
  <si>
    <t>Pago Actas de Liquidación vigencia 2010</t>
  </si>
  <si>
    <t>2.5.2.1.2.2</t>
  </si>
  <si>
    <t>Saldos Etesa vigencia 2011</t>
  </si>
  <si>
    <t>2.5.2.1.2.3</t>
  </si>
  <si>
    <t>Saldos rendimientos financieros 2011</t>
  </si>
  <si>
    <t>2.5.2.1.2.4</t>
  </si>
  <si>
    <t>Pago Interventoria vigencia 2012</t>
  </si>
  <si>
    <t>2.5.2.1.2.5</t>
  </si>
  <si>
    <t>Pago Cuota supersalud</t>
  </si>
  <si>
    <t>2.5.2.1.2.6</t>
  </si>
  <si>
    <t>Saldos vigencias anteriores</t>
  </si>
  <si>
    <t>2.5.2.3.06</t>
  </si>
  <si>
    <t>2.5.2.3.07</t>
  </si>
  <si>
    <t>2.5.2.3.08</t>
  </si>
  <si>
    <t>Fosyga Vigencia  2010</t>
  </si>
  <si>
    <t>2.5.2.3.09</t>
  </si>
  <si>
    <t>Recursos no Ejecutados Vigencia Octubre 2009 a Marzo 2011</t>
  </si>
  <si>
    <t>2.5.2.3.10</t>
  </si>
  <si>
    <t>Regimen Subsidiado Continuidad  (FINANC. TRANSF. DEPARTAMENTO)</t>
  </si>
  <si>
    <t>2.5.6</t>
  </si>
  <si>
    <t>ALIMENTACION ESCOLAR</t>
  </si>
  <si>
    <t>EJE ESTRATEGICO SOLCIAL</t>
  </si>
  <si>
    <t>Dotación material didáctico, textos, equipos y mentenimiento y apoyos educativos para la ciencia, la tecnología, y la innovación:</t>
  </si>
  <si>
    <t>Escuela o Colegio:</t>
  </si>
  <si>
    <t>Adecuación, mejoramiento y construcción de la infraestructura educativa:</t>
  </si>
  <si>
    <t>PPTO REAL EJECUTADO</t>
  </si>
  <si>
    <t>Escuela o Colegio: SA</t>
  </si>
  <si>
    <t>Plan Municipal para el deporte y la recreación</t>
  </si>
  <si>
    <t>Capacitación monitores de deporte</t>
  </si>
  <si>
    <t>Capacitación coordinadores rurales</t>
  </si>
  <si>
    <t>Dotaciones</t>
  </si>
  <si>
    <t>Olimpiadas Intercolegiados</t>
  </si>
  <si>
    <t>Otros campeonatos</t>
  </si>
  <si>
    <t xml:space="preserve">Otras actividades de educacion fisica y recreación </t>
  </si>
  <si>
    <t>Construcciones de:</t>
  </si>
  <si>
    <t>Mejoramiento de :</t>
  </si>
  <si>
    <t>Escuelas de formación deportiva</t>
  </si>
  <si>
    <t>MATRIZ PLAN DE DESARROLLO</t>
  </si>
  <si>
    <t>TOTAL DEPORTE</t>
  </si>
  <si>
    <t xml:space="preserve">VARIACION </t>
  </si>
  <si>
    <t>DOTACIONES</t>
  </si>
  <si>
    <t>ACTIV IDADES DEPORTIVAS Y RFECREATIVAS</t>
  </si>
  <si>
    <t xml:space="preserve">CONSTRUCCIONES   </t>
  </si>
  <si>
    <t>ADECUACIONES O MEJORAMIENTOS</t>
  </si>
  <si>
    <t>Construcciones de CUATRO POLIDEPORTIVOS :</t>
  </si>
  <si>
    <t>Sn Francisco, San Andrés, Topa y Agua Blanca</t>
  </si>
  <si>
    <t>RECURSOS GESTIONADOS</t>
  </si>
  <si>
    <t>SECTOR CULTURA Y TURISMO: INZA TERRITORIO CULTURAL Y TURISTICO PARA LA HUMANIDAD</t>
  </si>
  <si>
    <t>TOTAL SECTOR CULTURA Y TURISMO</t>
  </si>
  <si>
    <t>INFORME DE GESTION VIGENCIA 2012</t>
  </si>
  <si>
    <t>EJE ESTRATEGICO: SOCIAL: BIENESTAR, INCLUSION Y DESARROLLO HUMANO PARA LA GENTE</t>
  </si>
  <si>
    <t>VALORES MATRIZ PLAN DE DESARROLLO</t>
  </si>
  <si>
    <t>VALORES GESTIONADOS</t>
  </si>
  <si>
    <t>VALORES REALES PPTO 2012</t>
  </si>
  <si>
    <t>Casa de la Cultura la Casa del Pueblo Guanacas</t>
  </si>
  <si>
    <t>ESTAMPILLA PRO CULTURA</t>
  </si>
  <si>
    <t>Crear y fortalecer el Consejo de cultura municipal como mecanismo de participación ciudadana.</t>
  </si>
  <si>
    <t>Formular, implementar y ejecutar el plan municipal de cultura.  Indicador un plan formulado. Responsable Director Casa de la Cultura</t>
  </si>
  <si>
    <t>Crear una escuela de formación artística y cultural municipal</t>
  </si>
  <si>
    <t>Formar grupos especializados de niños, niñas, jóvenes y adolescentes para descubrir y apoyar sus manifestaciones artísticas y culturales</t>
  </si>
  <si>
    <t xml:space="preserve">fortalecimiento de la escuela de formación musical </t>
  </si>
  <si>
    <t>Beneficiar a la Población con jornadas culturales y educativas para promover los valores y elementos cívicos y de identidad, dirigidas a la población en general</t>
  </si>
  <si>
    <t>PORCENTAJE DE CUMPLIMIENTO</t>
  </si>
  <si>
    <t>Convenio 0340 Nasa Kiwe explanacion via la Milagrosa-Mesopotamia</t>
  </si>
  <si>
    <t>MANEJO INTEGRAL DE ECOSISTEMAS NATURALES Y HABITAT (CRC)</t>
  </si>
  <si>
    <t>EJE ESTRATEGICO: INZA COMPETITIVO SOSTENIBLE Y EQUITATIVO PARA LA GENTE</t>
  </si>
  <si>
    <t>SECTOR DESARROLLO AGROPECUARIO: SEMBRANDO FUTURO Y BIENESTAR PARA LA GENTE</t>
  </si>
  <si>
    <t>Jornada de salud Ejercito Nal</t>
  </si>
  <si>
    <t>Vigencia anteriores</t>
  </si>
  <si>
    <t>Interventoría</t>
  </si>
  <si>
    <t>Poblacion pobre no asegurada</t>
  </si>
  <si>
    <t>Subsidios Acueducto</t>
  </si>
  <si>
    <t>Subsidios Alcantarillado</t>
  </si>
  <si>
    <t>Subsidios Aseo</t>
  </si>
  <si>
    <t>SGP AGUA POTABLE Y SANEAMIENTO BASICO SIN SITUACION DE FONDOS</t>
  </si>
  <si>
    <t>ESTE</t>
  </si>
  <si>
    <t>COMPRA DE INSUMOS AGROPECUARIOS PARA EL APOYO A PROYECTOS PRODUCTIVOS EN LAS DIFERENTES VEREDAS DEL MUNICIPIO EJECUTADO POR LA SECRETARIA DE DESARROLLO MUNICIPAL</t>
  </si>
  <si>
    <t>SUMINISTRO DE INSUMOS PARA LA PRODUCCION DE PLANTULAS DE CACAO CON DESTINO AL GREMIO CACAOTERO DEL MUNICIPIO DE INZA</t>
  </si>
  <si>
    <t>SUMINISTRO DE INSUMOS AGROPECUARIOS CON DESTINO A PEQUEÑOS PRODUCTORES DEL MUNICIPIO DE INZA</t>
  </si>
  <si>
    <t>SUMINISTRO DE MATERIAL DE FERRETERIA PARA LA CONSTRUCCION DE GALPON DE POLLOS EN LA VEREDA DE PUERTO VALENCIA</t>
  </si>
  <si>
    <t>RECONSTRUCCION DE PORQUERIZAS A TODO COSTO CON EL PROPOSITO DE ADELANTAR PROYECTOS PRODUCTIVOS BENEFICOS PARA LA COMUNIDAD DE INZA</t>
  </si>
  <si>
    <t>CONSTRUCCION GALPON PARA PRODUCCION DE CARNE DE POLLO TIPO ASADERO VEREDA PUERTO VALENCIA INZA</t>
  </si>
  <si>
    <t>SUMINISTRO DE HERRAMIENTAS E INSUMOS CON DESTINO A LOS PEQUEÑOS PRODUCTORES DEL MUNICIPIO DE INZA</t>
  </si>
  <si>
    <t>PROYECTO INSEMINACION ARTIFICIAL GANADO VACUNO</t>
  </si>
  <si>
    <t>SUMINISTRO DE INSUMOS AGROPECUARIOS CON DESTINO A ESTUDIANTES DEL SENA EN GESTION EMPRESAS AGROPECUARIAS TURMINA</t>
  </si>
  <si>
    <t>CAPACITACION TECNICA EN INSEMINACION ARTIFICIAL A LA ASOCIACION DE GANADEROS DEL MUNICIPIO</t>
  </si>
  <si>
    <t>SUMINISTRO DE INSUMOS A PEQUEÑOS PRODUCTORES DEL MUNICIPIO DE INZA</t>
  </si>
  <si>
    <t>SUMINISTRO DE ARBOLES FRUTALES CITRICOS, AGUACATE CON DESTINO A LOS PEQUEÑOS PRODUCTORES DE INZA</t>
  </si>
  <si>
    <t>SUMINISTRO DE INSUMOS AGROPECUARIOS PARA PROYECTOS PRODUCTIVOS DE LA ASOCIACION ASPAGAMI</t>
  </si>
  <si>
    <t>SUMINISTRO DE INSUMOS AGROPECUARIOS PARA EL FORTALECIMIENTO DE LA ASOCIACION DE GANADEROS Y LECHEROS DE Inzá ASPROLEIN</t>
  </si>
  <si>
    <t>SUMINISTRO DE INSUMOS AGROPECUARIOS CON DESTINO A PEQUEÑOS PRODUCTORES DE LA ZONA DE OCCIDENTE MUNICIPIO DE Inzá</t>
  </si>
  <si>
    <t>SUBPROGRAMAS Y/O PROYECTOS</t>
  </si>
  <si>
    <t>Apoyar y fortalecer cuatro (4) organizaciones sociales de mujeres  y jóvenes emprendedores del municipio</t>
  </si>
  <si>
    <t>Institucionalizar y apoyar  la realización de  4 eventos de promoción Y  comercialización  de la producción agropecuaria municipal cada año.</t>
  </si>
  <si>
    <t xml:space="preserve">Ingreso y trabajo para las familias de la Red unidos  </t>
  </si>
  <si>
    <t xml:space="preserve">PROMOCIÓN DEL DESARROLLO SOCIO ECONÓMICO DEL MUNICIPIO DE INZÁ </t>
  </si>
  <si>
    <t>FORTALECIMIENTO DE LA COORDINACION ECONOMICA CON EL APOYO DE TÉCNICOS Y PROFESIONALES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</si>
</sst>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* #,##0_);_(* \(#,##0\);_(* &quot;-&quot;??_);_(@_)"/>
    <numFmt numFmtId="171" formatCode="_ * #,##0.00_ ;_ * \-#,##0.00_ ;_ * &quot;-&quot;??_ ;_ @_ "/>
    <numFmt numFmtId="172" formatCode="_(* #,##0.0_);_(* \(#,##0.0\);_(* &quot;-&quot;??_);_(@_)"/>
    <numFmt numFmtId="173" formatCode="0.0%"/>
    <numFmt numFmtId="174" formatCode="_(* #,##0.000_);_(* \(#,##0.000\);_(* &quot;-&quot;??_);_(@_)"/>
    <numFmt numFmtId="175" formatCode="0.00000"/>
    <numFmt numFmtId="176" formatCode="0.0000"/>
    <numFmt numFmtId="177" formatCode="0.000"/>
    <numFmt numFmtId="178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63"/>
      <name val="Calibri"/>
      <family val="2"/>
    </font>
    <font>
      <sz val="14"/>
      <color indexed="8"/>
      <name val="Arial"/>
      <family val="2"/>
    </font>
    <font>
      <sz val="8"/>
      <color indexed="10"/>
      <name val="MS Sans Serif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262626"/>
      <name val="Arial"/>
      <family val="2"/>
    </font>
    <font>
      <sz val="10"/>
      <color rgb="FF262626"/>
      <name val="Calibri"/>
      <family val="2"/>
    </font>
    <font>
      <b/>
      <i/>
      <sz val="9"/>
      <color rgb="FF000000"/>
      <name val="Arial"/>
      <family val="2"/>
    </font>
    <font>
      <sz val="14"/>
      <color rgb="FF000000"/>
      <name val="Arial"/>
      <family val="2"/>
    </font>
    <font>
      <sz val="8"/>
      <color rgb="FFFF0000"/>
      <name val="MS Sans Serif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4"/>
      <color theme="1"/>
      <name val="Calibri"/>
      <family val="2"/>
    </font>
    <font>
      <b/>
      <sz val="11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thin"/>
      <right style="double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/>
      <top style="double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double"/>
      <right style="thin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 style="double"/>
      <right style="thin"/>
      <top style="medium"/>
      <bottom style="medium"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double"/>
      <top style="double"/>
      <bottom style="medium"/>
    </border>
    <border>
      <left/>
      <right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medium"/>
      <bottom style="hair"/>
    </border>
    <border>
      <left style="double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double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thin"/>
      <right style="thin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double"/>
      <right style="thin"/>
      <top style="medium"/>
      <bottom/>
    </border>
    <border>
      <left style="double"/>
      <right style="thin"/>
      <top/>
      <bottom style="double"/>
    </border>
    <border>
      <left/>
      <right style="thin"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double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uble"/>
      <right style="thin"/>
      <top style="medium"/>
      <bottom style="hair"/>
    </border>
    <border>
      <left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79">
    <xf numFmtId="0" fontId="0" fillId="0" borderId="0" xfId="0" applyFont="1" applyAlignment="1">
      <alignment/>
    </xf>
    <xf numFmtId="0" fontId="58" fillId="0" borderId="0" xfId="0" applyFont="1" applyAlignment="1">
      <alignment horizontal="justify"/>
    </xf>
    <xf numFmtId="0" fontId="59" fillId="0" borderId="10" xfId="0" applyFont="1" applyBorder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170" fontId="0" fillId="0" borderId="0" xfId="46" applyNumberFormat="1" applyFont="1" applyAlignment="1">
      <alignment/>
    </xf>
    <xf numFmtId="170" fontId="62" fillId="0" borderId="0" xfId="46" applyNumberFormat="1" applyFont="1" applyAlignment="1">
      <alignment horizontal="justify" wrapText="1"/>
    </xf>
    <xf numFmtId="0" fontId="59" fillId="0" borderId="0" xfId="0" applyFont="1" applyBorder="1" applyAlignment="1">
      <alignment wrapText="1"/>
    </xf>
    <xf numFmtId="0" fontId="6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61" fillId="0" borderId="0" xfId="0" applyFont="1" applyBorder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0" fontId="0" fillId="0" borderId="0" xfId="0" applyNumberFormat="1" applyFill="1" applyAlignment="1">
      <alignment/>
    </xf>
    <xf numFmtId="170" fontId="59" fillId="0" borderId="0" xfId="46" applyNumberFormat="1" applyFont="1" applyBorder="1" applyAlignment="1">
      <alignment/>
    </xf>
    <xf numFmtId="170" fontId="63" fillId="33" borderId="11" xfId="0" applyNumberFormat="1" applyFont="1" applyFill="1" applyBorder="1" applyAlignment="1">
      <alignment horizontal="justify" wrapText="1"/>
    </xf>
    <xf numFmtId="170" fontId="23" fillId="34" borderId="12" xfId="46" applyNumberFormat="1" applyFont="1" applyFill="1" applyBorder="1" applyAlignment="1">
      <alignment horizontal="center" vertical="center" wrapText="1"/>
    </xf>
    <xf numFmtId="170" fontId="23" fillId="34" borderId="13" xfId="46" applyNumberFormat="1" applyFont="1" applyFill="1" applyBorder="1" applyAlignment="1">
      <alignment horizontal="center" vertical="center" wrapText="1"/>
    </xf>
    <xf numFmtId="170" fontId="26" fillId="35" borderId="13" xfId="46" applyNumberFormat="1" applyFont="1" applyFill="1" applyBorder="1" applyAlignment="1">
      <alignment horizontal="center" vertical="center" wrapText="1"/>
    </xf>
    <xf numFmtId="170" fontId="26" fillId="35" borderId="14" xfId="46" applyNumberFormat="1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170" fontId="23" fillId="36" borderId="13" xfId="46" applyNumberFormat="1" applyFont="1" applyFill="1" applyBorder="1" applyAlignment="1">
      <alignment horizontal="center" vertical="center" wrapText="1"/>
    </xf>
    <xf numFmtId="170" fontId="26" fillId="10" borderId="14" xfId="46" applyNumberFormat="1" applyFont="1" applyFill="1" applyBorder="1" applyAlignment="1">
      <alignment horizontal="center" vertical="center" wrapText="1"/>
    </xf>
    <xf numFmtId="0" fontId="27" fillId="37" borderId="15" xfId="0" applyFont="1" applyFill="1" applyBorder="1" applyAlignment="1">
      <alignment wrapText="1"/>
    </xf>
    <xf numFmtId="0" fontId="27" fillId="37" borderId="13" xfId="0" applyFont="1" applyFill="1" applyBorder="1" applyAlignment="1">
      <alignment horizontal="left" vertical="center" wrapText="1"/>
    </xf>
    <xf numFmtId="170" fontId="23" fillId="37" borderId="13" xfId="46" applyNumberFormat="1" applyFont="1" applyFill="1" applyBorder="1" applyAlignment="1">
      <alignment horizontal="right" wrapText="1"/>
    </xf>
    <xf numFmtId="170" fontId="1" fillId="37" borderId="13" xfId="46" applyNumberFormat="1" applyFont="1" applyFill="1" applyBorder="1" applyAlignment="1">
      <alignment/>
    </xf>
    <xf numFmtId="170" fontId="23" fillId="37" borderId="14" xfId="46" applyNumberFormat="1" applyFont="1" applyFill="1" applyBorder="1" applyAlignment="1">
      <alignment/>
    </xf>
    <xf numFmtId="0" fontId="6" fillId="0" borderId="0" xfId="0" applyFont="1" applyAlignment="1">
      <alignment/>
    </xf>
    <xf numFmtId="0" fontId="27" fillId="38" borderId="15" xfId="0" applyFont="1" applyFill="1" applyBorder="1" applyAlignment="1">
      <alignment wrapText="1"/>
    </xf>
    <xf numFmtId="0" fontId="27" fillId="38" borderId="13" xfId="0" applyFont="1" applyFill="1" applyBorder="1" applyAlignment="1">
      <alignment horizontal="left" vertical="center" wrapText="1"/>
    </xf>
    <xf numFmtId="170" fontId="23" fillId="38" borderId="13" xfId="46" applyNumberFormat="1" applyFont="1" applyFill="1" applyBorder="1" applyAlignment="1">
      <alignment horizontal="right" wrapText="1"/>
    </xf>
    <xf numFmtId="170" fontId="23" fillId="38" borderId="14" xfId="46" applyNumberFormat="1" applyFont="1" applyFill="1" applyBorder="1" applyAlignment="1">
      <alignment/>
    </xf>
    <xf numFmtId="0" fontId="23" fillId="0" borderId="15" xfId="0" applyFont="1" applyFill="1" applyBorder="1" applyAlignment="1">
      <alignment wrapText="1"/>
    </xf>
    <xf numFmtId="0" fontId="23" fillId="0" borderId="13" xfId="0" applyFont="1" applyFill="1" applyBorder="1" applyAlignment="1">
      <alignment horizontal="left" vertical="center" wrapText="1"/>
    </xf>
    <xf numFmtId="170" fontId="23" fillId="0" borderId="13" xfId="46" applyNumberFormat="1" applyFont="1" applyFill="1" applyBorder="1" applyAlignment="1">
      <alignment horizontal="right" wrapText="1"/>
    </xf>
    <xf numFmtId="170" fontId="23" fillId="0" borderId="14" xfId="46" applyNumberFormat="1" applyFont="1" applyBorder="1" applyAlignment="1">
      <alignment/>
    </xf>
    <xf numFmtId="170" fontId="23" fillId="38" borderId="14" xfId="46" applyNumberFormat="1" applyFont="1" applyFill="1" applyBorder="1" applyAlignment="1">
      <alignment horizontal="right" wrapText="1"/>
    </xf>
    <xf numFmtId="0" fontId="27" fillId="5" borderId="15" xfId="0" applyFont="1" applyFill="1" applyBorder="1" applyAlignment="1">
      <alignment wrapText="1"/>
    </xf>
    <xf numFmtId="0" fontId="27" fillId="5" borderId="13" xfId="0" applyFont="1" applyFill="1" applyBorder="1" applyAlignment="1">
      <alignment horizontal="left" vertical="center" wrapText="1"/>
    </xf>
    <xf numFmtId="170" fontId="23" fillId="5" borderId="13" xfId="46" applyNumberFormat="1" applyFont="1" applyFill="1" applyBorder="1" applyAlignment="1">
      <alignment horizontal="right" wrapText="1"/>
    </xf>
    <xf numFmtId="170" fontId="23" fillId="5" borderId="14" xfId="46" applyNumberFormat="1" applyFont="1" applyFill="1" applyBorder="1" applyAlignment="1">
      <alignment horizontal="right" wrapText="1"/>
    </xf>
    <xf numFmtId="170" fontId="23" fillId="0" borderId="14" xfId="46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170" fontId="1" fillId="0" borderId="13" xfId="46" applyNumberFormat="1" applyFont="1" applyFill="1" applyBorder="1" applyAlignment="1">
      <alignment horizontal="right" wrapText="1"/>
    </xf>
    <xf numFmtId="170" fontId="1" fillId="0" borderId="13" xfId="46" applyNumberFormat="1" applyFont="1" applyBorder="1" applyAlignment="1">
      <alignment/>
    </xf>
    <xf numFmtId="170" fontId="23" fillId="0" borderId="0" xfId="46" applyNumberFormat="1" applyFont="1" applyFill="1" applyBorder="1" applyAlignment="1">
      <alignment horizontal="right" wrapText="1"/>
    </xf>
    <xf numFmtId="170" fontId="23" fillId="0" borderId="13" xfId="46" applyNumberFormat="1" applyFont="1" applyBorder="1" applyAlignment="1">
      <alignment/>
    </xf>
    <xf numFmtId="0" fontId="27" fillId="0" borderId="15" xfId="0" applyFont="1" applyFill="1" applyBorder="1" applyAlignment="1">
      <alignment wrapText="1"/>
    </xf>
    <xf numFmtId="0" fontId="27" fillId="0" borderId="13" xfId="0" applyFont="1" applyFill="1" applyBorder="1" applyAlignment="1">
      <alignment horizontal="left" vertical="center" wrapText="1"/>
    </xf>
    <xf numFmtId="0" fontId="23" fillId="5" borderId="15" xfId="0" applyFont="1" applyFill="1" applyBorder="1" applyAlignment="1">
      <alignment wrapText="1"/>
    </xf>
    <xf numFmtId="0" fontId="23" fillId="5" borderId="13" xfId="0" applyFont="1" applyFill="1" applyBorder="1" applyAlignment="1">
      <alignment horizontal="left" vertical="center" wrapText="1"/>
    </xf>
    <xf numFmtId="170" fontId="1" fillId="5" borderId="13" xfId="46" applyNumberFormat="1" applyFont="1" applyFill="1" applyBorder="1" applyAlignment="1">
      <alignment horizontal="right" wrapText="1"/>
    </xf>
    <xf numFmtId="0" fontId="1" fillId="5" borderId="15" xfId="0" applyFont="1" applyFill="1" applyBorder="1" applyAlignment="1">
      <alignment wrapText="1"/>
    </xf>
    <xf numFmtId="0" fontId="23" fillId="11" borderId="15" xfId="0" applyFont="1" applyFill="1" applyBorder="1" applyAlignment="1">
      <alignment wrapText="1"/>
    </xf>
    <xf numFmtId="0" fontId="23" fillId="11" borderId="13" xfId="0" applyFont="1" applyFill="1" applyBorder="1" applyAlignment="1">
      <alignment horizontal="left" vertical="center" wrapText="1"/>
    </xf>
    <xf numFmtId="170" fontId="23" fillId="11" borderId="13" xfId="46" applyNumberFormat="1" applyFont="1" applyFill="1" applyBorder="1" applyAlignment="1">
      <alignment horizontal="right" wrapText="1"/>
    </xf>
    <xf numFmtId="170" fontId="23" fillId="11" borderId="14" xfId="46" applyNumberFormat="1" applyFont="1" applyFill="1" applyBorder="1" applyAlignment="1">
      <alignment horizontal="right" wrapText="1"/>
    </xf>
    <xf numFmtId="0" fontId="1" fillId="11" borderId="15" xfId="0" applyFont="1" applyFill="1" applyBorder="1" applyAlignment="1">
      <alignment wrapText="1"/>
    </xf>
    <xf numFmtId="0" fontId="26" fillId="0" borderId="15" xfId="51" applyFont="1" applyFill="1" applyBorder="1" applyAlignment="1">
      <alignment wrapText="1"/>
      <protection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vertical="center" wrapText="1"/>
    </xf>
    <xf numFmtId="170" fontId="1" fillId="0" borderId="17" xfId="46" applyNumberFormat="1" applyFont="1" applyFill="1" applyBorder="1" applyAlignment="1">
      <alignment horizontal="right" wrapText="1"/>
    </xf>
    <xf numFmtId="170" fontId="1" fillId="0" borderId="17" xfId="46" applyNumberFormat="1" applyFont="1" applyBorder="1" applyAlignment="1">
      <alignment/>
    </xf>
    <xf numFmtId="170" fontId="23" fillId="0" borderId="18" xfId="46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170" fontId="1" fillId="0" borderId="0" xfId="46" applyNumberFormat="1" applyFont="1" applyAlignment="1">
      <alignment/>
    </xf>
    <xf numFmtId="170" fontId="28" fillId="0" borderId="0" xfId="46" applyNumberFormat="1" applyFont="1" applyAlignment="1">
      <alignment/>
    </xf>
    <xf numFmtId="0" fontId="6" fillId="0" borderId="19" xfId="51" applyFont="1" applyFill="1" applyBorder="1" applyAlignment="1">
      <alignment wrapText="1"/>
      <protection/>
    </xf>
    <xf numFmtId="170" fontId="64" fillId="39" borderId="20" xfId="46" applyNumberFormat="1" applyFont="1" applyFill="1" applyBorder="1" applyAlignment="1">
      <alignment vertical="center"/>
    </xf>
    <xf numFmtId="3" fontId="60" fillId="0" borderId="21" xfId="0" applyNumberFormat="1" applyFont="1" applyBorder="1" applyAlignment="1">
      <alignment horizontal="right" wrapText="1"/>
    </xf>
    <xf numFmtId="0" fontId="58" fillId="39" borderId="22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170" fontId="1" fillId="0" borderId="0" xfId="46" applyNumberFormat="1" applyFont="1" applyFill="1" applyBorder="1" applyAlignment="1">
      <alignment horizontal="right" wrapText="1"/>
    </xf>
    <xf numFmtId="170" fontId="1" fillId="0" borderId="0" xfId="46" applyNumberFormat="1" applyFont="1" applyBorder="1" applyAlignment="1">
      <alignment/>
    </xf>
    <xf numFmtId="170" fontId="23" fillId="0" borderId="0" xfId="46" applyNumberFormat="1" applyFont="1" applyBorder="1" applyAlignment="1">
      <alignment/>
    </xf>
    <xf numFmtId="0" fontId="1" fillId="0" borderId="23" xfId="0" applyFont="1" applyFill="1" applyBorder="1" applyAlignment="1">
      <alignment wrapText="1"/>
    </xf>
    <xf numFmtId="0" fontId="23" fillId="0" borderId="12" xfId="0" applyFont="1" applyFill="1" applyBorder="1" applyAlignment="1">
      <alignment horizontal="left" vertical="center" wrapText="1"/>
    </xf>
    <xf numFmtId="170" fontId="23" fillId="0" borderId="12" xfId="46" applyNumberFormat="1" applyFont="1" applyFill="1" applyBorder="1" applyAlignment="1">
      <alignment horizontal="right" wrapText="1"/>
    </xf>
    <xf numFmtId="170" fontId="23" fillId="0" borderId="24" xfId="46" applyNumberFormat="1" applyFont="1" applyFill="1" applyBorder="1" applyAlignment="1">
      <alignment horizontal="right" wrapText="1"/>
    </xf>
    <xf numFmtId="0" fontId="1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 horizontal="left" vertical="center" wrapText="1"/>
    </xf>
    <xf numFmtId="170" fontId="1" fillId="0" borderId="26" xfId="46" applyNumberFormat="1" applyFont="1" applyFill="1" applyBorder="1" applyAlignment="1">
      <alignment horizontal="right" wrapText="1"/>
    </xf>
    <xf numFmtId="170" fontId="1" fillId="0" borderId="26" xfId="46" applyNumberFormat="1" applyFont="1" applyBorder="1" applyAlignment="1">
      <alignment/>
    </xf>
    <xf numFmtId="170" fontId="23" fillId="0" borderId="27" xfId="46" applyNumberFormat="1" applyFont="1" applyBorder="1" applyAlignment="1">
      <alignment/>
    </xf>
    <xf numFmtId="0" fontId="1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horizontal="left" vertical="center" wrapText="1"/>
    </xf>
    <xf numFmtId="170" fontId="1" fillId="0" borderId="29" xfId="46" applyNumberFormat="1" applyFont="1" applyFill="1" applyBorder="1" applyAlignment="1">
      <alignment horizontal="right" wrapText="1"/>
    </xf>
    <xf numFmtId="170" fontId="1" fillId="0" borderId="29" xfId="46" applyNumberFormat="1" applyFont="1" applyBorder="1" applyAlignment="1">
      <alignment/>
    </xf>
    <xf numFmtId="170" fontId="23" fillId="0" borderId="30" xfId="46" applyNumberFormat="1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 horizontal="left" vertical="center" wrapText="1"/>
    </xf>
    <xf numFmtId="170" fontId="1" fillId="0" borderId="31" xfId="46" applyNumberFormat="1" applyFont="1" applyFill="1" applyBorder="1" applyAlignment="1">
      <alignment horizontal="right" wrapText="1"/>
    </xf>
    <xf numFmtId="170" fontId="1" fillId="0" borderId="31" xfId="46" applyNumberFormat="1" applyFont="1" applyBorder="1" applyAlignment="1">
      <alignment/>
    </xf>
    <xf numFmtId="170" fontId="23" fillId="0" borderId="31" xfId="46" applyNumberFormat="1" applyFont="1" applyBorder="1" applyAlignment="1">
      <alignment/>
    </xf>
    <xf numFmtId="170" fontId="23" fillId="0" borderId="26" xfId="46" applyNumberFormat="1" applyFont="1" applyFill="1" applyBorder="1" applyAlignment="1">
      <alignment horizontal="right" wrapText="1"/>
    </xf>
    <xf numFmtId="170" fontId="6" fillId="0" borderId="0" xfId="46" applyNumberFormat="1" applyFont="1" applyAlignment="1">
      <alignment/>
    </xf>
    <xf numFmtId="3" fontId="60" fillId="0" borderId="0" xfId="0" applyNumberFormat="1" applyFont="1" applyFill="1" applyBorder="1" applyAlignment="1">
      <alignment horizontal="right" wrapText="1"/>
    </xf>
    <xf numFmtId="0" fontId="65" fillId="0" borderId="13" xfId="0" applyFont="1" applyBorder="1" applyAlignment="1">
      <alignment horizontal="left" vertical="center" wrapText="1"/>
    </xf>
    <xf numFmtId="0" fontId="66" fillId="3" borderId="32" xfId="0" applyFont="1" applyFill="1" applyBorder="1" applyAlignment="1">
      <alignment vertical="center" wrapText="1"/>
    </xf>
    <xf numFmtId="0" fontId="65" fillId="0" borderId="21" xfId="0" applyFont="1" applyFill="1" applyBorder="1" applyAlignment="1">
      <alignment wrapText="1"/>
    </xf>
    <xf numFmtId="0" fontId="66" fillId="3" borderId="3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3" fontId="60" fillId="40" borderId="0" xfId="0" applyNumberFormat="1" applyFont="1" applyFill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3" fontId="60" fillId="39" borderId="22" xfId="0" applyNumberFormat="1" applyFont="1" applyFill="1" applyBorder="1" applyAlignment="1">
      <alignment horizontal="center" vertical="center" wrapText="1"/>
    </xf>
    <xf numFmtId="3" fontId="60" fillId="39" borderId="35" xfId="0" applyNumberFormat="1" applyFont="1" applyFill="1" applyBorder="1" applyAlignment="1">
      <alignment horizontal="center" vertical="center" wrapText="1"/>
    </xf>
    <xf numFmtId="3" fontId="60" fillId="32" borderId="36" xfId="0" applyNumberFormat="1" applyFont="1" applyFill="1" applyBorder="1" applyAlignment="1">
      <alignment horizontal="center" vertical="center" wrapText="1"/>
    </xf>
    <xf numFmtId="3" fontId="60" fillId="3" borderId="13" xfId="0" applyNumberFormat="1" applyFont="1" applyFill="1" applyBorder="1" applyAlignment="1">
      <alignment horizontal="right" wrapText="1"/>
    </xf>
    <xf numFmtId="3" fontId="60" fillId="3" borderId="37" xfId="0" applyNumberFormat="1" applyFont="1" applyFill="1" applyBorder="1" applyAlignment="1">
      <alignment vertical="center" wrapText="1"/>
    </xf>
    <xf numFmtId="0" fontId="68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0" fontId="65" fillId="0" borderId="21" xfId="0" applyFont="1" applyFill="1" applyBorder="1" applyAlignment="1">
      <alignment horizontal="left" vertical="center" wrapText="1"/>
    </xf>
    <xf numFmtId="3" fontId="61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textRotation="90" wrapText="1"/>
    </xf>
    <xf numFmtId="0" fontId="69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0" fontId="0" fillId="0" borderId="13" xfId="46" applyNumberFormat="1" applyFont="1" applyBorder="1" applyAlignment="1">
      <alignment/>
    </xf>
    <xf numFmtId="0" fontId="60" fillId="0" borderId="19" xfId="0" applyFont="1" applyBorder="1" applyAlignment="1">
      <alignment horizontal="left" vertical="center" wrapText="1"/>
    </xf>
    <xf numFmtId="170" fontId="70" fillId="0" borderId="21" xfId="46" applyNumberFormat="1" applyFont="1" applyFill="1" applyBorder="1" applyAlignment="1">
      <alignment horizontal="right" wrapText="1"/>
    </xf>
    <xf numFmtId="170" fontId="61" fillId="0" borderId="20" xfId="46" applyNumberFormat="1" applyFont="1" applyFill="1" applyBorder="1" applyAlignment="1">
      <alignment horizontal="right" wrapText="1"/>
    </xf>
    <xf numFmtId="170" fontId="70" fillId="0" borderId="21" xfId="46" applyNumberFormat="1" applyFont="1" applyFill="1" applyBorder="1" applyAlignment="1">
      <alignment horizontal="right" vertical="center" wrapText="1"/>
    </xf>
    <xf numFmtId="170" fontId="70" fillId="0" borderId="21" xfId="46" applyNumberFormat="1" applyFont="1" applyBorder="1" applyAlignment="1">
      <alignment horizontal="right" vertical="center" wrapText="1"/>
    </xf>
    <xf numFmtId="0" fontId="70" fillId="0" borderId="19" xfId="0" applyFont="1" applyFill="1" applyBorder="1" applyAlignment="1">
      <alignment wrapText="1"/>
    </xf>
    <xf numFmtId="170" fontId="70" fillId="0" borderId="21" xfId="46" applyNumberFormat="1" applyFont="1" applyFill="1" applyBorder="1" applyAlignment="1">
      <alignment wrapText="1"/>
    </xf>
    <xf numFmtId="170" fontId="70" fillId="0" borderId="20" xfId="46" applyNumberFormat="1" applyFont="1" applyFill="1" applyBorder="1" applyAlignment="1">
      <alignment horizontal="right" vertical="center" wrapText="1"/>
    </xf>
    <xf numFmtId="0" fontId="70" fillId="0" borderId="19" xfId="0" applyFont="1" applyBorder="1" applyAlignment="1">
      <alignment wrapText="1"/>
    </xf>
    <xf numFmtId="170" fontId="71" fillId="0" borderId="21" xfId="46" applyNumberFormat="1" applyFont="1" applyBorder="1" applyAlignment="1">
      <alignment horizontal="right" vertical="center" wrapText="1"/>
    </xf>
    <xf numFmtId="0" fontId="60" fillId="0" borderId="19" xfId="0" applyFont="1" applyFill="1" applyBorder="1" applyAlignment="1">
      <alignment wrapText="1"/>
    </xf>
    <xf numFmtId="0" fontId="0" fillId="0" borderId="19" xfId="0" applyBorder="1" applyAlignment="1">
      <alignment horizontal="left" vertical="center" wrapText="1"/>
    </xf>
    <xf numFmtId="170" fontId="70" fillId="0" borderId="20" xfId="46" applyNumberFormat="1" applyFont="1" applyFill="1" applyBorder="1" applyAlignment="1">
      <alignment horizontal="right" wrapText="1"/>
    </xf>
    <xf numFmtId="0" fontId="65" fillId="0" borderId="19" xfId="0" applyFont="1" applyFill="1" applyBorder="1" applyAlignment="1">
      <alignment wrapText="1"/>
    </xf>
    <xf numFmtId="170" fontId="70" fillId="0" borderId="20" xfId="46" applyNumberFormat="1" applyFont="1" applyBorder="1" applyAlignment="1">
      <alignment horizontal="right" vertical="center" wrapText="1"/>
    </xf>
    <xf numFmtId="0" fontId="65" fillId="0" borderId="19" xfId="0" applyFont="1" applyFill="1" applyBorder="1" applyAlignment="1">
      <alignment vertical="center" wrapText="1"/>
    </xf>
    <xf numFmtId="170" fontId="61" fillId="0" borderId="21" xfId="46" applyNumberFormat="1" applyFont="1" applyFill="1" applyBorder="1" applyAlignment="1">
      <alignment horizontal="right" vertical="center" wrapText="1"/>
    </xf>
    <xf numFmtId="170" fontId="61" fillId="0" borderId="20" xfId="46" applyNumberFormat="1" applyFont="1" applyFill="1" applyBorder="1" applyAlignment="1">
      <alignment horizontal="right" vertic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170" fontId="61" fillId="0" borderId="39" xfId="46" applyNumberFormat="1" applyFont="1" applyBorder="1" applyAlignment="1">
      <alignment horizontal="center" vertical="center" wrapText="1"/>
    </xf>
    <xf numFmtId="170" fontId="61" fillId="0" borderId="40" xfId="46" applyNumberFormat="1" applyFont="1" applyBorder="1" applyAlignment="1">
      <alignment horizontal="center" vertical="center" wrapText="1"/>
    </xf>
    <xf numFmtId="0" fontId="60" fillId="0" borderId="41" xfId="0" applyFont="1" applyBorder="1" applyAlignment="1">
      <alignment horizontal="left" vertical="center" wrapText="1"/>
    </xf>
    <xf numFmtId="170" fontId="70" fillId="0" borderId="42" xfId="46" applyNumberFormat="1" applyFont="1" applyFill="1" applyBorder="1" applyAlignment="1">
      <alignment horizontal="right" wrapText="1"/>
    </xf>
    <xf numFmtId="170" fontId="61" fillId="0" borderId="43" xfId="46" applyNumberFormat="1" applyFont="1" applyFill="1" applyBorder="1" applyAlignment="1">
      <alignment horizontal="right" wrapText="1"/>
    </xf>
    <xf numFmtId="0" fontId="61" fillId="41" borderId="44" xfId="0" applyFont="1" applyFill="1" applyBorder="1" applyAlignment="1">
      <alignment wrapText="1"/>
    </xf>
    <xf numFmtId="170" fontId="61" fillId="41" borderId="35" xfId="46" applyNumberFormat="1" applyFont="1" applyFill="1" applyBorder="1" applyAlignment="1">
      <alignment wrapText="1"/>
    </xf>
    <xf numFmtId="170" fontId="61" fillId="41" borderId="11" xfId="46" applyNumberFormat="1" applyFont="1" applyFill="1" applyBorder="1" applyAlignment="1">
      <alignment wrapText="1"/>
    </xf>
    <xf numFmtId="0" fontId="60" fillId="0" borderId="45" xfId="0" applyFont="1" applyBorder="1" applyAlignment="1">
      <alignment horizontal="left" vertical="center" wrapText="1"/>
    </xf>
    <xf numFmtId="170" fontId="70" fillId="0" borderId="46" xfId="46" applyNumberFormat="1" applyFont="1" applyBorder="1" applyAlignment="1">
      <alignment horizontal="right" vertical="center" wrapText="1"/>
    </xf>
    <xf numFmtId="170" fontId="61" fillId="0" borderId="47" xfId="46" applyNumberFormat="1" applyFont="1" applyFill="1" applyBorder="1" applyAlignment="1">
      <alignment horizontal="right" wrapText="1"/>
    </xf>
    <xf numFmtId="0" fontId="70" fillId="0" borderId="41" xfId="0" applyFont="1" applyFill="1" applyBorder="1" applyAlignment="1">
      <alignment wrapText="1"/>
    </xf>
    <xf numFmtId="170" fontId="70" fillId="0" borderId="42" xfId="46" applyNumberFormat="1" applyFont="1" applyFill="1" applyBorder="1" applyAlignment="1">
      <alignment wrapText="1"/>
    </xf>
    <xf numFmtId="170" fontId="70" fillId="0" borderId="42" xfId="46" applyNumberFormat="1" applyFont="1" applyFill="1" applyBorder="1" applyAlignment="1">
      <alignment horizontal="right" vertical="center" wrapText="1"/>
    </xf>
    <xf numFmtId="170" fontId="70" fillId="0" borderId="43" xfId="46" applyNumberFormat="1" applyFont="1" applyFill="1" applyBorder="1" applyAlignment="1">
      <alignment horizontal="right" vertical="center" wrapText="1"/>
    </xf>
    <xf numFmtId="0" fontId="70" fillId="41" borderId="44" xfId="0" applyFont="1" applyFill="1" applyBorder="1" applyAlignment="1">
      <alignment wrapText="1"/>
    </xf>
    <xf numFmtId="170" fontId="70" fillId="41" borderId="35" xfId="46" applyNumberFormat="1" applyFont="1" applyFill="1" applyBorder="1" applyAlignment="1">
      <alignment wrapText="1"/>
    </xf>
    <xf numFmtId="170" fontId="70" fillId="41" borderId="11" xfId="46" applyNumberFormat="1" applyFont="1" applyFill="1" applyBorder="1" applyAlignment="1">
      <alignment wrapText="1"/>
    </xf>
    <xf numFmtId="170" fontId="70" fillId="0" borderId="46" xfId="46" applyNumberFormat="1" applyFont="1" applyFill="1" applyBorder="1" applyAlignment="1">
      <alignment horizontal="right" vertical="center" wrapText="1"/>
    </xf>
    <xf numFmtId="170" fontId="70" fillId="0" borderId="47" xfId="46" applyNumberFormat="1" applyFont="1" applyFill="1" applyBorder="1" applyAlignment="1">
      <alignment horizontal="right" vertical="center" wrapText="1"/>
    </xf>
    <xf numFmtId="0" fontId="60" fillId="0" borderId="41" xfId="0" applyFont="1" applyFill="1" applyBorder="1" applyAlignment="1">
      <alignment wrapText="1"/>
    </xf>
    <xf numFmtId="0" fontId="72" fillId="0" borderId="45" xfId="0" applyFont="1" applyBorder="1" applyAlignment="1">
      <alignment horizontal="left" vertical="center" wrapText="1"/>
    </xf>
    <xf numFmtId="170" fontId="70" fillId="0" borderId="46" xfId="46" applyNumberFormat="1" applyFont="1" applyFill="1" applyBorder="1" applyAlignment="1">
      <alignment wrapText="1"/>
    </xf>
    <xf numFmtId="170" fontId="70" fillId="0" borderId="46" xfId="46" applyNumberFormat="1" applyFont="1" applyFill="1" applyBorder="1" applyAlignment="1">
      <alignment horizontal="right" wrapText="1"/>
    </xf>
    <xf numFmtId="170" fontId="70" fillId="0" borderId="43" xfId="46" applyNumberFormat="1" applyFont="1" applyFill="1" applyBorder="1" applyAlignment="1">
      <alignment horizontal="right" wrapText="1"/>
    </xf>
    <xf numFmtId="0" fontId="70" fillId="0" borderId="45" xfId="0" applyFont="1" applyFill="1" applyBorder="1" applyAlignment="1">
      <alignment wrapText="1"/>
    </xf>
    <xf numFmtId="170" fontId="70" fillId="0" borderId="47" xfId="46" applyNumberFormat="1" applyFont="1" applyFill="1" applyBorder="1" applyAlignment="1">
      <alignment horizontal="right" wrapText="1"/>
    </xf>
    <xf numFmtId="0" fontId="70" fillId="0" borderId="45" xfId="0" applyFont="1" applyBorder="1" applyAlignment="1">
      <alignment wrapText="1"/>
    </xf>
    <xf numFmtId="170" fontId="70" fillId="41" borderId="35" xfId="46" applyNumberFormat="1" applyFont="1" applyFill="1" applyBorder="1" applyAlignment="1">
      <alignment horizontal="right" vertical="center" wrapText="1"/>
    </xf>
    <xf numFmtId="170" fontId="70" fillId="41" borderId="11" xfId="46" applyNumberFormat="1" applyFont="1" applyFill="1" applyBorder="1" applyAlignment="1">
      <alignment horizontal="right" vertical="center" wrapText="1"/>
    </xf>
    <xf numFmtId="0" fontId="65" fillId="0" borderId="41" xfId="0" applyFont="1" applyFill="1" applyBorder="1" applyAlignment="1">
      <alignment wrapText="1"/>
    </xf>
    <xf numFmtId="170" fontId="70" fillId="0" borderId="42" xfId="46" applyNumberFormat="1" applyFont="1" applyBorder="1" applyAlignment="1">
      <alignment horizontal="right" vertical="center" wrapText="1"/>
    </xf>
    <xf numFmtId="170" fontId="70" fillId="0" borderId="43" xfId="46" applyNumberFormat="1" applyFont="1" applyBorder="1" applyAlignment="1">
      <alignment horizontal="right" vertical="center" wrapText="1"/>
    </xf>
    <xf numFmtId="0" fontId="65" fillId="0" borderId="45" xfId="0" applyFont="1" applyFill="1" applyBorder="1" applyAlignment="1">
      <alignment vertical="center" wrapText="1"/>
    </xf>
    <xf numFmtId="170" fontId="0" fillId="0" borderId="46" xfId="46" applyNumberFormat="1" applyFont="1" applyBorder="1" applyAlignment="1">
      <alignment vertical="center"/>
    </xf>
    <xf numFmtId="170" fontId="70" fillId="0" borderId="47" xfId="46" applyNumberFormat="1" applyFont="1" applyBorder="1" applyAlignment="1">
      <alignment horizontal="right" vertical="center" wrapText="1"/>
    </xf>
    <xf numFmtId="0" fontId="70" fillId="0" borderId="41" xfId="0" applyFont="1" applyBorder="1" applyAlignment="1">
      <alignment wrapText="1"/>
    </xf>
    <xf numFmtId="0" fontId="65" fillId="0" borderId="45" xfId="0" applyFont="1" applyFill="1" applyBorder="1" applyAlignment="1">
      <alignment wrapText="1"/>
    </xf>
    <xf numFmtId="0" fontId="70" fillId="0" borderId="41" xfId="0" applyFont="1" applyBorder="1" applyAlignment="1">
      <alignment horizontal="left" vertical="center" wrapText="1"/>
    </xf>
    <xf numFmtId="170" fontId="61" fillId="0" borderId="42" xfId="46" applyNumberFormat="1" applyFont="1" applyFill="1" applyBorder="1" applyAlignment="1">
      <alignment horizontal="right" vertical="center" wrapText="1"/>
    </xf>
    <xf numFmtId="170" fontId="61" fillId="0" borderId="43" xfId="46" applyNumberFormat="1" applyFont="1" applyFill="1" applyBorder="1" applyAlignment="1">
      <alignment horizontal="right" vertical="center" wrapText="1"/>
    </xf>
    <xf numFmtId="170" fontId="61" fillId="0" borderId="47" xfId="46" applyNumberFormat="1" applyFont="1" applyFill="1" applyBorder="1" applyAlignment="1">
      <alignment horizontal="right" vertical="center" wrapText="1"/>
    </xf>
    <xf numFmtId="0" fontId="60" fillId="41" borderId="44" xfId="0" applyFont="1" applyFill="1" applyBorder="1" applyAlignment="1">
      <alignment horizontal="left" vertical="center" wrapText="1"/>
    </xf>
    <xf numFmtId="0" fontId="61" fillId="39" borderId="48" xfId="0" applyFont="1" applyFill="1" applyBorder="1" applyAlignment="1">
      <alignment wrapText="1"/>
    </xf>
    <xf numFmtId="170" fontId="61" fillId="39" borderId="49" xfId="46" applyNumberFormat="1" applyFont="1" applyFill="1" applyBorder="1" applyAlignment="1">
      <alignment horizontal="right" vertical="center" wrapText="1"/>
    </xf>
    <xf numFmtId="170" fontId="61" fillId="39" borderId="50" xfId="46" applyNumberFormat="1" applyFont="1" applyFill="1" applyBorder="1" applyAlignment="1">
      <alignment horizontal="right" vertical="center" wrapText="1"/>
    </xf>
    <xf numFmtId="0" fontId="70" fillId="0" borderId="51" xfId="0" applyFont="1" applyFill="1" applyBorder="1" applyAlignment="1">
      <alignment wrapText="1"/>
    </xf>
    <xf numFmtId="170" fontId="70" fillId="0" borderId="52" xfId="46" applyNumberFormat="1" applyFont="1" applyFill="1" applyBorder="1" applyAlignment="1">
      <alignment horizontal="right" vertical="center" wrapText="1"/>
    </xf>
    <xf numFmtId="170" fontId="70" fillId="0" borderId="53" xfId="46" applyNumberFormat="1" applyFont="1" applyFill="1" applyBorder="1" applyAlignment="1">
      <alignment horizontal="right" vertical="center" wrapText="1"/>
    </xf>
    <xf numFmtId="0" fontId="70" fillId="41" borderId="34" xfId="0" applyFont="1" applyFill="1" applyBorder="1" applyAlignment="1">
      <alignment wrapText="1"/>
    </xf>
    <xf numFmtId="170" fontId="70" fillId="41" borderId="22" xfId="46" applyNumberFormat="1" applyFont="1" applyFill="1" applyBorder="1" applyAlignment="1">
      <alignment horizontal="right" vertical="center" wrapText="1"/>
    </xf>
    <xf numFmtId="170" fontId="70" fillId="41" borderId="54" xfId="46" applyNumberFormat="1" applyFont="1" applyFill="1" applyBorder="1" applyAlignment="1">
      <alignment horizontal="right" vertical="center" wrapText="1"/>
    </xf>
    <xf numFmtId="0" fontId="70" fillId="0" borderId="31" xfId="0" applyFont="1" applyFill="1" applyBorder="1" applyAlignment="1">
      <alignment wrapText="1"/>
    </xf>
    <xf numFmtId="170" fontId="70" fillId="0" borderId="31" xfId="46" applyNumberFormat="1" applyFont="1" applyFill="1" applyBorder="1" applyAlignment="1">
      <alignment horizontal="right" vertical="center" wrapText="1"/>
    </xf>
    <xf numFmtId="0" fontId="70" fillId="0" borderId="0" xfId="0" applyFont="1" applyFill="1" applyBorder="1" applyAlignment="1">
      <alignment wrapText="1"/>
    </xf>
    <xf numFmtId="170" fontId="70" fillId="0" borderId="0" xfId="46" applyNumberFormat="1" applyFont="1" applyFill="1" applyBorder="1" applyAlignment="1">
      <alignment horizontal="right" vertical="center" wrapText="1"/>
    </xf>
    <xf numFmtId="0" fontId="70" fillId="0" borderId="55" xfId="0" applyFont="1" applyFill="1" applyBorder="1" applyAlignment="1">
      <alignment wrapText="1"/>
    </xf>
    <xf numFmtId="170" fontId="70" fillId="0" borderId="55" xfId="46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65" fillId="0" borderId="0" xfId="0" applyFont="1" applyBorder="1" applyAlignment="1">
      <alignment vertical="center" textRotation="90"/>
    </xf>
    <xf numFmtId="0" fontId="65" fillId="0" borderId="0" xfId="0" applyFont="1" applyBorder="1" applyAlignment="1">
      <alignment horizontal="left" vertical="center" wrapText="1"/>
    </xf>
    <xf numFmtId="3" fontId="58" fillId="0" borderId="0" xfId="0" applyNumberFormat="1" applyFont="1" applyFill="1" applyBorder="1" applyAlignment="1">
      <alignment horizontal="right" wrapText="1"/>
    </xf>
    <xf numFmtId="3" fontId="60" fillId="3" borderId="56" xfId="0" applyNumberFormat="1" applyFont="1" applyFill="1" applyBorder="1" applyAlignment="1">
      <alignment horizontal="right" wrapText="1"/>
    </xf>
    <xf numFmtId="3" fontId="60" fillId="2" borderId="21" xfId="0" applyNumberFormat="1" applyFont="1" applyFill="1" applyBorder="1" applyAlignment="1">
      <alignment horizontal="right" wrapText="1"/>
    </xf>
    <xf numFmtId="0" fontId="65" fillId="0" borderId="21" xfId="0" applyFont="1" applyBorder="1" applyAlignment="1">
      <alignment horizontal="left" vertical="center" wrapText="1"/>
    </xf>
    <xf numFmtId="0" fontId="73" fillId="0" borderId="21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center" vertical="center" wrapText="1"/>
    </xf>
    <xf numFmtId="3" fontId="60" fillId="3" borderId="21" xfId="0" applyNumberFormat="1" applyFont="1" applyFill="1" applyBorder="1" applyAlignment="1">
      <alignment horizontal="right" wrapText="1"/>
    </xf>
    <xf numFmtId="3" fontId="60" fillId="0" borderId="21" xfId="0" applyNumberFormat="1" applyFont="1" applyFill="1" applyBorder="1" applyAlignment="1">
      <alignment horizontal="right" vertical="center" wrapText="1"/>
    </xf>
    <xf numFmtId="3" fontId="60" fillId="3" borderId="21" xfId="0" applyNumberFormat="1" applyFont="1" applyFill="1" applyBorder="1" applyAlignment="1">
      <alignment horizontal="right" vertical="center" wrapText="1"/>
    </xf>
    <xf numFmtId="0" fontId="65" fillId="0" borderId="21" xfId="0" applyFont="1" applyFill="1" applyBorder="1" applyAlignment="1">
      <alignment vertical="center" wrapText="1"/>
    </xf>
    <xf numFmtId="0" fontId="65" fillId="0" borderId="0" xfId="0" applyFont="1" applyBorder="1" applyAlignment="1">
      <alignment horizontal="center" vertical="center" textRotation="90"/>
    </xf>
    <xf numFmtId="0" fontId="65" fillId="0" borderId="0" xfId="0" applyFont="1" applyFill="1" applyBorder="1" applyAlignment="1">
      <alignment wrapText="1"/>
    </xf>
    <xf numFmtId="0" fontId="65" fillId="0" borderId="52" xfId="0" applyFont="1" applyFill="1" applyBorder="1" applyAlignment="1">
      <alignment wrapText="1"/>
    </xf>
    <xf numFmtId="3" fontId="60" fillId="0" borderId="0" xfId="0" applyNumberFormat="1" applyFont="1" applyBorder="1" applyAlignment="1">
      <alignment horizontal="right" wrapText="1"/>
    </xf>
    <xf numFmtId="3" fontId="60" fillId="42" borderId="57" xfId="0" applyNumberFormat="1" applyFont="1" applyFill="1" applyBorder="1" applyAlignment="1">
      <alignment horizontal="right" wrapText="1"/>
    </xf>
    <xf numFmtId="3" fontId="60" fillId="3" borderId="21" xfId="0" applyNumberFormat="1" applyFont="1" applyFill="1" applyBorder="1" applyAlignment="1">
      <alignment horizontal="center" wrapText="1"/>
    </xf>
    <xf numFmtId="3" fontId="60" fillId="3" borderId="21" xfId="0" applyNumberFormat="1" applyFont="1" applyFill="1" applyBorder="1" applyAlignment="1">
      <alignment horizontal="center" vertical="center" wrapText="1"/>
    </xf>
    <xf numFmtId="3" fontId="60" fillId="43" borderId="56" xfId="0" applyNumberFormat="1" applyFont="1" applyFill="1" applyBorder="1" applyAlignment="1">
      <alignment horizontal="right" wrapText="1"/>
    </xf>
    <xf numFmtId="0" fontId="68" fillId="0" borderId="52" xfId="0" applyFont="1" applyFill="1" applyBorder="1" applyAlignment="1">
      <alignment/>
    </xf>
    <xf numFmtId="0" fontId="65" fillId="0" borderId="21" xfId="0" applyFont="1" applyFill="1" applyBorder="1" applyAlignment="1">
      <alignment horizontal="left" vertical="center" wrapText="1"/>
    </xf>
    <xf numFmtId="0" fontId="63" fillId="0" borderId="58" xfId="0" applyFont="1" applyBorder="1" applyAlignment="1">
      <alignment horizontal="justify" wrapText="1"/>
    </xf>
    <xf numFmtId="0" fontId="63" fillId="44" borderId="19" xfId="0" applyFont="1" applyFill="1" applyBorder="1" applyAlignment="1">
      <alignment horizontal="justify" wrapText="1"/>
    </xf>
    <xf numFmtId="170" fontId="63" fillId="44" borderId="21" xfId="46" applyNumberFormat="1" applyFont="1" applyFill="1" applyBorder="1" applyAlignment="1">
      <alignment horizontal="center"/>
    </xf>
    <xf numFmtId="170" fontId="63" fillId="44" borderId="20" xfId="46" applyNumberFormat="1" applyFont="1" applyFill="1" applyBorder="1" applyAlignment="1">
      <alignment horizontal="center"/>
    </xf>
    <xf numFmtId="0" fontId="59" fillId="0" borderId="19" xfId="0" applyFont="1" applyBorder="1" applyAlignment="1">
      <alignment wrapText="1"/>
    </xf>
    <xf numFmtId="170" fontId="70" fillId="0" borderId="21" xfId="46" applyNumberFormat="1" applyFont="1" applyBorder="1" applyAlignment="1">
      <alignment horizontal="right" wrapText="1"/>
    </xf>
    <xf numFmtId="170" fontId="59" fillId="0" borderId="21" xfId="46" applyNumberFormat="1" applyFont="1" applyBorder="1" applyAlignment="1">
      <alignment horizontal="justify" wrapText="1"/>
    </xf>
    <xf numFmtId="43" fontId="59" fillId="0" borderId="21" xfId="46" applyNumberFormat="1" applyFont="1" applyBorder="1" applyAlignment="1">
      <alignment horizontal="justify" wrapText="1"/>
    </xf>
    <xf numFmtId="170" fontId="59" fillId="0" borderId="21" xfId="46" applyNumberFormat="1" applyFont="1" applyBorder="1" applyAlignment="1">
      <alignment wrapText="1"/>
    </xf>
    <xf numFmtId="170" fontId="59" fillId="0" borderId="20" xfId="46" applyNumberFormat="1" applyFont="1" applyBorder="1" applyAlignment="1">
      <alignment horizontal="justify" wrapText="1"/>
    </xf>
    <xf numFmtId="0" fontId="59" fillId="0" borderId="19" xfId="0" applyFont="1" applyBorder="1" applyAlignment="1">
      <alignment horizontal="justify" wrapText="1"/>
    </xf>
    <xf numFmtId="170" fontId="6" fillId="0" borderId="21" xfId="46" applyNumberFormat="1" applyFont="1" applyFill="1" applyBorder="1" applyAlignment="1">
      <alignment horizontal="right" wrapText="1"/>
    </xf>
    <xf numFmtId="170" fontId="62" fillId="0" borderId="21" xfId="46" applyNumberFormat="1" applyFont="1" applyBorder="1" applyAlignment="1">
      <alignment horizontal="justify" wrapText="1"/>
    </xf>
    <xf numFmtId="170" fontId="63" fillId="44" borderId="21" xfId="46" applyNumberFormat="1" applyFont="1" applyFill="1" applyBorder="1" applyAlignment="1">
      <alignment horizontal="justify" wrapText="1"/>
    </xf>
    <xf numFmtId="170" fontId="63" fillId="44" borderId="20" xfId="46" applyNumberFormat="1" applyFont="1" applyFill="1" applyBorder="1" applyAlignment="1">
      <alignment horizontal="justify" wrapText="1"/>
    </xf>
    <xf numFmtId="0" fontId="59" fillId="45" borderId="19" xfId="0" applyFont="1" applyFill="1" applyBorder="1" applyAlignment="1">
      <alignment horizontal="justify" wrapText="1"/>
    </xf>
    <xf numFmtId="170" fontId="59" fillId="45" borderId="21" xfId="46" applyNumberFormat="1" applyFont="1" applyFill="1" applyBorder="1" applyAlignment="1">
      <alignment horizontal="right" wrapText="1"/>
    </xf>
    <xf numFmtId="170" fontId="59" fillId="45" borderId="20" xfId="46" applyNumberFormat="1" applyFont="1" applyFill="1" applyBorder="1" applyAlignment="1">
      <alignment horizontal="right" wrapText="1"/>
    </xf>
    <xf numFmtId="3" fontId="59" fillId="45" borderId="21" xfId="0" applyNumberFormat="1" applyFont="1" applyFill="1" applyBorder="1" applyAlignment="1">
      <alignment horizontal="right" wrapText="1"/>
    </xf>
    <xf numFmtId="3" fontId="59" fillId="45" borderId="20" xfId="0" applyNumberFormat="1" applyFont="1" applyFill="1" applyBorder="1" applyAlignment="1">
      <alignment horizontal="right" wrapText="1"/>
    </xf>
    <xf numFmtId="4" fontId="6" fillId="0" borderId="21" xfId="51" applyNumberFormat="1" applyFont="1" applyFill="1" applyBorder="1" applyAlignment="1">
      <alignment horizontal="right" wrapText="1"/>
      <protection/>
    </xf>
    <xf numFmtId="0" fontId="59" fillId="0" borderId="21" xfId="0" applyFont="1" applyBorder="1" applyAlignment="1">
      <alignment horizontal="justify" wrapText="1"/>
    </xf>
    <xf numFmtId="4" fontId="6" fillId="38" borderId="21" xfId="51" applyNumberFormat="1" applyFont="1" applyFill="1" applyBorder="1" applyAlignment="1">
      <alignment horizontal="right" wrapText="1"/>
      <protection/>
    </xf>
    <xf numFmtId="170" fontId="59" fillId="45" borderId="21" xfId="46" applyNumberFormat="1" applyFont="1" applyFill="1" applyBorder="1" applyAlignment="1">
      <alignment horizontal="justify" wrapText="1"/>
    </xf>
    <xf numFmtId="170" fontId="59" fillId="45" borderId="20" xfId="46" applyNumberFormat="1" applyFont="1" applyFill="1" applyBorder="1" applyAlignment="1">
      <alignment horizontal="justify" wrapText="1"/>
    </xf>
    <xf numFmtId="4" fontId="6" fillId="38" borderId="20" xfId="51" applyNumberFormat="1" applyFont="1" applyFill="1" applyBorder="1" applyAlignment="1">
      <alignment horizontal="right" wrapText="1"/>
      <protection/>
    </xf>
    <xf numFmtId="4" fontId="4" fillId="0" borderId="21" xfId="51" applyNumberFormat="1" applyFont="1" applyFill="1" applyBorder="1" applyAlignment="1">
      <alignment horizontal="right" wrapText="1"/>
      <protection/>
    </xf>
    <xf numFmtId="170" fontId="59" fillId="0" borderId="21" xfId="46" applyNumberFormat="1" applyFont="1" applyFill="1" applyBorder="1" applyAlignment="1">
      <alignment horizontal="justify" wrapText="1"/>
    </xf>
    <xf numFmtId="170" fontId="63" fillId="44" borderId="21" xfId="46" applyNumberFormat="1" applyFont="1" applyFill="1" applyBorder="1" applyAlignment="1">
      <alignment horizontal="right" wrapText="1"/>
    </xf>
    <xf numFmtId="170" fontId="63" fillId="44" borderId="20" xfId="46" applyNumberFormat="1" applyFont="1" applyFill="1" applyBorder="1" applyAlignment="1">
      <alignment horizontal="right" wrapText="1"/>
    </xf>
    <xf numFmtId="170" fontId="59" fillId="0" borderId="21" xfId="46" applyNumberFormat="1" applyFont="1" applyBorder="1" applyAlignment="1">
      <alignment horizontal="right" wrapText="1"/>
    </xf>
    <xf numFmtId="0" fontId="63" fillId="44" borderId="19" xfId="0" applyFont="1" applyFill="1" applyBorder="1" applyAlignment="1">
      <alignment wrapText="1"/>
    </xf>
    <xf numFmtId="4" fontId="63" fillId="44" borderId="21" xfId="0" applyNumberFormat="1" applyFont="1" applyFill="1" applyBorder="1" applyAlignment="1">
      <alignment wrapText="1"/>
    </xf>
    <xf numFmtId="170" fontId="59" fillId="44" borderId="20" xfId="46" applyNumberFormat="1" applyFont="1" applyFill="1" applyBorder="1" applyAlignment="1">
      <alignment horizontal="justify" wrapText="1"/>
    </xf>
    <xf numFmtId="170" fontId="74" fillId="0" borderId="21" xfId="46" applyNumberFormat="1" applyFont="1" applyFill="1" applyBorder="1" applyAlignment="1">
      <alignment horizontal="justify" wrapText="1"/>
    </xf>
    <xf numFmtId="170" fontId="59" fillId="0" borderId="20" xfId="46" applyNumberFormat="1" applyFont="1" applyFill="1" applyBorder="1" applyAlignment="1">
      <alignment horizontal="justify" wrapText="1"/>
    </xf>
    <xf numFmtId="0" fontId="63" fillId="33" borderId="19" xfId="0" applyFont="1" applyFill="1" applyBorder="1" applyAlignment="1">
      <alignment horizontal="justify" wrapText="1"/>
    </xf>
    <xf numFmtId="170" fontId="63" fillId="33" borderId="21" xfId="0" applyNumberFormat="1" applyFont="1" applyFill="1" applyBorder="1" applyAlignment="1">
      <alignment horizontal="justify" wrapText="1"/>
    </xf>
    <xf numFmtId="170" fontId="63" fillId="33" borderId="20" xfId="0" applyNumberFormat="1" applyFont="1" applyFill="1" applyBorder="1" applyAlignment="1">
      <alignment horizontal="justify" wrapText="1"/>
    </xf>
    <xf numFmtId="0" fontId="63" fillId="33" borderId="51" xfId="0" applyFont="1" applyFill="1" applyBorder="1" applyAlignment="1">
      <alignment horizontal="justify" wrapText="1"/>
    </xf>
    <xf numFmtId="170" fontId="63" fillId="33" borderId="52" xfId="0" applyNumberFormat="1" applyFont="1" applyFill="1" applyBorder="1" applyAlignment="1">
      <alignment horizontal="justify" wrapText="1"/>
    </xf>
    <xf numFmtId="170" fontId="63" fillId="33" borderId="53" xfId="0" applyNumberFormat="1" applyFont="1" applyFill="1" applyBorder="1" applyAlignment="1">
      <alignment horizontal="justify" wrapText="1"/>
    </xf>
    <xf numFmtId="3" fontId="75" fillId="0" borderId="20" xfId="0" applyNumberFormat="1" applyFont="1" applyBorder="1" applyAlignment="1">
      <alignment/>
    </xf>
    <xf numFmtId="3" fontId="75" fillId="0" borderId="53" xfId="0" applyNumberFormat="1" applyFont="1" applyBorder="1" applyAlignment="1">
      <alignment/>
    </xf>
    <xf numFmtId="3" fontId="60" fillId="0" borderId="42" xfId="0" applyNumberFormat="1" applyFont="1" applyFill="1" applyBorder="1" applyAlignment="1">
      <alignment horizontal="right" vertical="center" wrapText="1"/>
    </xf>
    <xf numFmtId="0" fontId="63" fillId="0" borderId="56" xfId="0" applyFont="1" applyBorder="1" applyAlignment="1">
      <alignment vertical="center" wrapText="1"/>
    </xf>
    <xf numFmtId="170" fontId="63" fillId="0" borderId="56" xfId="46" applyNumberFormat="1" applyFont="1" applyBorder="1" applyAlignment="1">
      <alignment vertical="center" wrapText="1"/>
    </xf>
    <xf numFmtId="170" fontId="63" fillId="0" borderId="59" xfId="46" applyNumberFormat="1" applyFont="1" applyBorder="1" applyAlignment="1">
      <alignment vertical="center" wrapText="1"/>
    </xf>
    <xf numFmtId="0" fontId="65" fillId="0" borderId="21" xfId="0" applyFont="1" applyFill="1" applyBorder="1" applyAlignment="1">
      <alignment horizontal="center" vertical="center" textRotation="90" wrapText="1"/>
    </xf>
    <xf numFmtId="0" fontId="65" fillId="0" borderId="21" xfId="0" applyFont="1" applyFill="1" applyBorder="1" applyAlignment="1">
      <alignment horizontal="left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60" xfId="0" applyFont="1" applyFill="1" applyBorder="1" applyAlignment="1">
      <alignment horizontal="center" vertical="center" textRotation="90" wrapText="1"/>
    </xf>
    <xf numFmtId="0" fontId="65" fillId="0" borderId="61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 wrapText="1"/>
    </xf>
    <xf numFmtId="0" fontId="65" fillId="2" borderId="21" xfId="0" applyFont="1" applyFill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left" vertical="center" wrapText="1"/>
    </xf>
    <xf numFmtId="0" fontId="65" fillId="3" borderId="21" xfId="0" applyFont="1" applyFill="1" applyBorder="1" applyAlignment="1">
      <alignment horizontal="center" vertical="center" wrapText="1"/>
    </xf>
    <xf numFmtId="3" fontId="60" fillId="0" borderId="21" xfId="0" applyNumberFormat="1" applyFont="1" applyBorder="1" applyAlignment="1">
      <alignment horizontal="center" vertical="center" wrapText="1"/>
    </xf>
    <xf numFmtId="0" fontId="66" fillId="3" borderId="21" xfId="0" applyFont="1" applyFill="1" applyBorder="1" applyAlignment="1">
      <alignment horizontal="left" vertical="center" wrapText="1"/>
    </xf>
    <xf numFmtId="0" fontId="65" fillId="3" borderId="21" xfId="0" applyFont="1" applyFill="1" applyBorder="1" applyAlignment="1">
      <alignment horizontal="left" vertical="center" wrapText="1"/>
    </xf>
    <xf numFmtId="0" fontId="65" fillId="3" borderId="21" xfId="0" applyFont="1" applyFill="1" applyBorder="1" applyAlignment="1">
      <alignment horizontal="left" wrapText="1"/>
    </xf>
    <xf numFmtId="0" fontId="65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3" fontId="60" fillId="0" borderId="21" xfId="0" applyNumberFormat="1" applyFont="1" applyBorder="1" applyAlignment="1">
      <alignment horizontal="center" vertical="center" wrapText="1"/>
    </xf>
    <xf numFmtId="3" fontId="60" fillId="0" borderId="52" xfId="0" applyNumberFormat="1" applyFont="1" applyBorder="1" applyAlignment="1">
      <alignment horizontal="center" vertical="center" wrapText="1"/>
    </xf>
    <xf numFmtId="0" fontId="65" fillId="3" borderId="21" xfId="0" applyFont="1" applyFill="1" applyBorder="1" applyAlignment="1">
      <alignment horizontal="left" wrapText="1"/>
    </xf>
    <xf numFmtId="0" fontId="57" fillId="32" borderId="63" xfId="0" applyFont="1" applyFill="1" applyBorder="1" applyAlignment="1">
      <alignment horizontal="left" vertical="center" wrapText="1"/>
    </xf>
    <xf numFmtId="0" fontId="57" fillId="32" borderId="0" xfId="0" applyFont="1" applyFill="1" applyBorder="1" applyAlignment="1">
      <alignment horizontal="left" vertical="center" wrapText="1"/>
    </xf>
    <xf numFmtId="4" fontId="60" fillId="32" borderId="29" xfId="0" applyNumberFormat="1" applyFont="1" applyFill="1" applyBorder="1" applyAlignment="1">
      <alignment horizontal="center" vertical="center" wrapText="1"/>
    </xf>
    <xf numFmtId="4" fontId="60" fillId="3" borderId="60" xfId="0" applyNumberFormat="1" applyFont="1" applyFill="1" applyBorder="1" applyAlignment="1">
      <alignment horizontal="right" wrapText="1"/>
    </xf>
    <xf numFmtId="0" fontId="66" fillId="0" borderId="33" xfId="0" applyFont="1" applyFill="1" applyBorder="1" applyAlignment="1">
      <alignment vertical="center" wrapText="1"/>
    </xf>
    <xf numFmtId="4" fontId="60" fillId="0" borderId="60" xfId="0" applyNumberFormat="1" applyFont="1" applyFill="1" applyBorder="1" applyAlignment="1">
      <alignment horizontal="right" wrapText="1"/>
    </xf>
    <xf numFmtId="3" fontId="60" fillId="0" borderId="60" xfId="0" applyNumberFormat="1" applyFont="1" applyFill="1" applyBorder="1" applyAlignment="1">
      <alignment horizontal="right" wrapText="1"/>
    </xf>
    <xf numFmtId="0" fontId="65" fillId="0" borderId="60" xfId="0" applyFont="1" applyBorder="1" applyAlignment="1">
      <alignment horizontal="center" vertical="center" wrapText="1"/>
    </xf>
    <xf numFmtId="0" fontId="65" fillId="46" borderId="13" xfId="0" applyFont="1" applyFill="1" applyBorder="1" applyAlignment="1">
      <alignment horizontal="left" vertical="center" wrapText="1"/>
    </xf>
    <xf numFmtId="3" fontId="60" fillId="46" borderId="42" xfId="0" applyNumberFormat="1" applyFont="1" applyFill="1" applyBorder="1" applyAlignment="1">
      <alignment horizontal="right" vertical="center" wrapText="1"/>
    </xf>
    <xf numFmtId="4" fontId="60" fillId="46" borderId="42" xfId="0" applyNumberFormat="1" applyFont="1" applyFill="1" applyBorder="1" applyAlignment="1">
      <alignment horizontal="right" vertical="center" wrapText="1"/>
    </xf>
    <xf numFmtId="0" fontId="65" fillId="10" borderId="13" xfId="0" applyFont="1" applyFill="1" applyBorder="1" applyAlignment="1">
      <alignment horizontal="left" vertical="center" wrapText="1"/>
    </xf>
    <xf numFmtId="3" fontId="60" fillId="10" borderId="42" xfId="0" applyNumberFormat="1" applyFont="1" applyFill="1" applyBorder="1" applyAlignment="1">
      <alignment horizontal="right" vertical="center" wrapText="1"/>
    </xf>
    <xf numFmtId="4" fontId="60" fillId="10" borderId="42" xfId="0" applyNumberFormat="1" applyFont="1" applyFill="1" applyBorder="1" applyAlignment="1">
      <alignment horizontal="right" vertical="center" wrapText="1"/>
    </xf>
    <xf numFmtId="0" fontId="65" fillId="2" borderId="13" xfId="0" applyFont="1" applyFill="1" applyBorder="1" applyAlignment="1">
      <alignment horizontal="left" vertical="center" wrapText="1"/>
    </xf>
    <xf numFmtId="3" fontId="60" fillId="2" borderId="42" xfId="0" applyNumberFormat="1" applyFont="1" applyFill="1" applyBorder="1" applyAlignment="1">
      <alignment horizontal="right" vertical="center" wrapText="1"/>
    </xf>
    <xf numFmtId="4" fontId="60" fillId="2" borderId="42" xfId="0" applyNumberFormat="1" applyFont="1" applyFill="1" applyBorder="1" applyAlignment="1">
      <alignment horizontal="right" vertical="center" wrapText="1"/>
    </xf>
    <xf numFmtId="3" fontId="60" fillId="2" borderId="21" xfId="0" applyNumberFormat="1" applyFont="1" applyFill="1" applyBorder="1" applyAlignment="1">
      <alignment horizontal="right" vertical="center"/>
    </xf>
    <xf numFmtId="4" fontId="60" fillId="2" borderId="21" xfId="0" applyNumberFormat="1" applyFont="1" applyFill="1" applyBorder="1" applyAlignment="1">
      <alignment horizontal="right" vertical="center"/>
    </xf>
    <xf numFmtId="3" fontId="60" fillId="10" borderId="21" xfId="0" applyNumberFormat="1" applyFont="1" applyFill="1" applyBorder="1" applyAlignment="1">
      <alignment horizontal="right" vertical="center"/>
    </xf>
    <xf numFmtId="0" fontId="65" fillId="10" borderId="26" xfId="0" applyFont="1" applyFill="1" applyBorder="1" applyAlignment="1">
      <alignment horizontal="left" vertical="center" wrapText="1"/>
    </xf>
    <xf numFmtId="3" fontId="60" fillId="46" borderId="13" xfId="0" applyNumberFormat="1" applyFont="1" applyFill="1" applyBorder="1" applyAlignment="1">
      <alignment horizontal="right" vertical="center"/>
    </xf>
    <xf numFmtId="3" fontId="60" fillId="46" borderId="13" xfId="0" applyNumberFormat="1" applyFont="1" applyFill="1" applyBorder="1" applyAlignment="1">
      <alignment horizontal="right" vertical="center" wrapText="1"/>
    </xf>
    <xf numFmtId="4" fontId="60" fillId="10" borderId="46" xfId="0" applyNumberFormat="1" applyFont="1" applyFill="1" applyBorder="1" applyAlignment="1">
      <alignment horizontal="right" vertical="center"/>
    </xf>
    <xf numFmtId="4" fontId="60" fillId="46" borderId="13" xfId="0" applyNumberFormat="1" applyFont="1" applyFill="1" applyBorder="1" applyAlignment="1">
      <alignment horizontal="right" vertical="center"/>
    </xf>
    <xf numFmtId="4" fontId="60" fillId="3" borderId="13" xfId="0" applyNumberFormat="1" applyFont="1" applyFill="1" applyBorder="1" applyAlignment="1">
      <alignment vertical="center" wrapText="1"/>
    </xf>
    <xf numFmtId="4" fontId="60" fillId="3" borderId="26" xfId="0" applyNumberFormat="1" applyFont="1" applyFill="1" applyBorder="1" applyAlignment="1">
      <alignment vertical="center" wrapText="1"/>
    </xf>
    <xf numFmtId="3" fontId="60" fillId="3" borderId="26" xfId="0" applyNumberFormat="1" applyFont="1" applyFill="1" applyBorder="1" applyAlignment="1">
      <alignment vertical="center" wrapText="1"/>
    </xf>
    <xf numFmtId="4" fontId="60" fillId="0" borderId="46" xfId="0" applyNumberFormat="1" applyFont="1" applyFill="1" applyBorder="1" applyAlignment="1">
      <alignment horizontal="right" vertical="center" wrapText="1"/>
    </xf>
    <xf numFmtId="3" fontId="60" fillId="46" borderId="64" xfId="0" applyNumberFormat="1" applyFont="1" applyFill="1" applyBorder="1" applyAlignment="1">
      <alignment horizontal="right" vertical="center" wrapText="1"/>
    </xf>
    <xf numFmtId="3" fontId="60" fillId="46" borderId="21" xfId="0" applyNumberFormat="1" applyFont="1" applyFill="1" applyBorder="1" applyAlignment="1">
      <alignment horizontal="right" vertical="center" wrapText="1"/>
    </xf>
    <xf numFmtId="3" fontId="60" fillId="10" borderId="21" xfId="0" applyNumberFormat="1" applyFont="1" applyFill="1" applyBorder="1" applyAlignment="1">
      <alignment horizontal="right" vertical="center" wrapText="1"/>
    </xf>
    <xf numFmtId="0" fontId="65" fillId="10" borderId="0" xfId="0" applyFont="1" applyFill="1" applyBorder="1" applyAlignment="1">
      <alignment horizontal="left" vertical="center" wrapText="1"/>
    </xf>
    <xf numFmtId="4" fontId="60" fillId="10" borderId="46" xfId="0" applyNumberFormat="1" applyFont="1" applyFill="1" applyBorder="1" applyAlignment="1">
      <alignment horizontal="right" vertical="center" wrapText="1"/>
    </xf>
    <xf numFmtId="4" fontId="60" fillId="46" borderId="13" xfId="0" applyNumberFormat="1" applyFont="1" applyFill="1" applyBorder="1" applyAlignment="1">
      <alignment horizontal="right" vertical="center" wrapText="1"/>
    </xf>
    <xf numFmtId="0" fontId="66" fillId="3" borderId="42" xfId="0" applyFont="1" applyFill="1" applyBorder="1" applyAlignment="1">
      <alignment horizontal="center" vertical="center" wrapText="1"/>
    </xf>
    <xf numFmtId="4" fontId="60" fillId="3" borderId="42" xfId="0" applyNumberFormat="1" applyFont="1" applyFill="1" applyBorder="1" applyAlignment="1">
      <alignment horizontal="right" wrapText="1"/>
    </xf>
    <xf numFmtId="4" fontId="60" fillId="2" borderId="21" xfId="0" applyNumberFormat="1" applyFont="1" applyFill="1" applyBorder="1" applyAlignment="1">
      <alignment horizontal="right" wrapText="1"/>
    </xf>
    <xf numFmtId="4" fontId="60" fillId="0" borderId="21" xfId="0" applyNumberFormat="1" applyFont="1" applyFill="1" applyBorder="1" applyAlignment="1">
      <alignment horizontal="right" vertical="center" wrapText="1"/>
    </xf>
    <xf numFmtId="0" fontId="73" fillId="10" borderId="21" xfId="0" applyFont="1" applyFill="1" applyBorder="1" applyAlignment="1">
      <alignment horizontal="left" vertical="center" wrapText="1"/>
    </xf>
    <xf numFmtId="4" fontId="60" fillId="10" borderId="21" xfId="0" applyNumberFormat="1" applyFont="1" applyFill="1" applyBorder="1" applyAlignment="1">
      <alignment horizontal="right" vertical="center" wrapText="1"/>
    </xf>
    <xf numFmtId="0" fontId="73" fillId="46" borderId="21" xfId="0" applyFont="1" applyFill="1" applyBorder="1" applyAlignment="1">
      <alignment horizontal="left" vertical="center" wrapText="1"/>
    </xf>
    <xf numFmtId="4" fontId="60" fillId="46" borderId="21" xfId="0" applyNumberFormat="1" applyFont="1" applyFill="1" applyBorder="1" applyAlignment="1">
      <alignment horizontal="right" vertical="center" wrapText="1"/>
    </xf>
    <xf numFmtId="4" fontId="60" fillId="3" borderId="21" xfId="0" applyNumberFormat="1" applyFont="1" applyFill="1" applyBorder="1" applyAlignment="1">
      <alignment horizontal="right" wrapText="1"/>
    </xf>
    <xf numFmtId="0" fontId="65" fillId="0" borderId="46" xfId="0" applyFont="1" applyFill="1" applyBorder="1" applyAlignment="1">
      <alignment wrapText="1"/>
    </xf>
    <xf numFmtId="3" fontId="60" fillId="0" borderId="46" xfId="0" applyNumberFormat="1" applyFont="1" applyFill="1" applyBorder="1" applyAlignment="1">
      <alignment horizontal="right" wrapText="1"/>
    </xf>
    <xf numFmtId="4" fontId="60" fillId="0" borderId="13" xfId="0" applyNumberFormat="1" applyFont="1" applyFill="1" applyBorder="1" applyAlignment="1">
      <alignment horizontal="right" wrapText="1"/>
    </xf>
    <xf numFmtId="0" fontId="66" fillId="42" borderId="42" xfId="0" applyFont="1" applyFill="1" applyBorder="1" applyAlignment="1">
      <alignment horizontal="left" vertical="center" wrapText="1"/>
    </xf>
    <xf numFmtId="4" fontId="60" fillId="42" borderId="42" xfId="0" applyNumberFormat="1" applyFont="1" applyFill="1" applyBorder="1" applyAlignment="1">
      <alignment horizontal="right" wrapText="1"/>
    </xf>
    <xf numFmtId="4" fontId="60" fillId="0" borderId="21" xfId="0" applyNumberFormat="1" applyFont="1" applyBorder="1" applyAlignment="1">
      <alignment horizontal="right" wrapText="1"/>
    </xf>
    <xf numFmtId="4" fontId="60" fillId="0" borderId="21" xfId="0" applyNumberFormat="1" applyFont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left" vertical="center" wrapText="1"/>
    </xf>
    <xf numFmtId="3" fontId="60" fillId="0" borderId="21" xfId="0" applyNumberFormat="1" applyFont="1" applyFill="1" applyBorder="1" applyAlignment="1">
      <alignment horizontal="right" wrapText="1"/>
    </xf>
    <xf numFmtId="4" fontId="60" fillId="0" borderId="21" xfId="0" applyNumberFormat="1" applyFont="1" applyFill="1" applyBorder="1" applyAlignment="1">
      <alignment horizontal="right" wrapText="1"/>
    </xf>
    <xf numFmtId="4" fontId="60" fillId="3" borderId="21" xfId="0" applyNumberFormat="1" applyFont="1" applyFill="1" applyBorder="1" applyAlignment="1">
      <alignment horizontal="center" wrapText="1"/>
    </xf>
    <xf numFmtId="3" fontId="60" fillId="0" borderId="21" xfId="0" applyNumberFormat="1" applyFont="1" applyFill="1" applyBorder="1" applyAlignment="1">
      <alignment horizontal="center" wrapText="1"/>
    </xf>
    <xf numFmtId="4" fontId="60" fillId="0" borderId="21" xfId="0" applyNumberFormat="1" applyFont="1" applyFill="1" applyBorder="1" applyAlignment="1">
      <alignment horizontal="center" wrapText="1"/>
    </xf>
    <xf numFmtId="0" fontId="65" fillId="0" borderId="21" xfId="0" applyFont="1" applyFill="1" applyBorder="1" applyAlignment="1">
      <alignment horizontal="left" wrapText="1"/>
    </xf>
    <xf numFmtId="3" fontId="60" fillId="0" borderId="21" xfId="0" applyNumberFormat="1" applyFont="1" applyFill="1" applyBorder="1" applyAlignment="1">
      <alignment horizontal="center" vertical="center" wrapText="1"/>
    </xf>
    <xf numFmtId="4" fontId="60" fillId="0" borderId="21" xfId="0" applyNumberFormat="1" applyFont="1" applyFill="1" applyBorder="1" applyAlignment="1">
      <alignment horizontal="center" vertical="center" wrapText="1"/>
    </xf>
    <xf numFmtId="3" fontId="60" fillId="0" borderId="46" xfId="0" applyNumberFormat="1" applyFont="1" applyBorder="1" applyAlignment="1">
      <alignment horizontal="right" wrapText="1"/>
    </xf>
    <xf numFmtId="0" fontId="65" fillId="0" borderId="60" xfId="0" applyFont="1" applyFill="1" applyBorder="1" applyAlignment="1">
      <alignment horizontal="center" vertical="center" wrapText="1"/>
    </xf>
    <xf numFmtId="4" fontId="60" fillId="0" borderId="46" xfId="0" applyNumberFormat="1" applyFont="1" applyBorder="1" applyAlignment="1">
      <alignment horizontal="right" wrapText="1"/>
    </xf>
    <xf numFmtId="4" fontId="60" fillId="0" borderId="13" xfId="0" applyNumberFormat="1" applyFont="1" applyBorder="1" applyAlignment="1">
      <alignment horizontal="right" wrapText="1"/>
    </xf>
    <xf numFmtId="0" fontId="65" fillId="0" borderId="13" xfId="0" applyFont="1" applyFill="1" applyBorder="1" applyAlignment="1">
      <alignment wrapText="1"/>
    </xf>
    <xf numFmtId="0" fontId="66" fillId="43" borderId="42" xfId="0" applyFont="1" applyFill="1" applyBorder="1" applyAlignment="1">
      <alignment horizontal="left" vertical="center" wrapText="1"/>
    </xf>
    <xf numFmtId="3" fontId="60" fillId="43" borderId="42" xfId="0" applyNumberFormat="1" applyFont="1" applyFill="1" applyBorder="1" applyAlignment="1">
      <alignment horizontal="right" wrapText="1"/>
    </xf>
    <xf numFmtId="4" fontId="60" fillId="43" borderId="42" xfId="0" applyNumberFormat="1" applyFont="1" applyFill="1" applyBorder="1" applyAlignment="1">
      <alignment horizontal="right" wrapText="1"/>
    </xf>
    <xf numFmtId="0" fontId="66" fillId="0" borderId="42" xfId="0" applyFont="1" applyFill="1" applyBorder="1" applyAlignment="1">
      <alignment horizontal="left" vertical="center" wrapText="1"/>
    </xf>
    <xf numFmtId="4" fontId="60" fillId="0" borderId="42" xfId="0" applyNumberFormat="1" applyFont="1" applyFill="1" applyBorder="1" applyAlignment="1">
      <alignment horizontal="right" wrapText="1"/>
    </xf>
    <xf numFmtId="3" fontId="60" fillId="0" borderId="42" xfId="0" applyNumberFormat="1" applyFont="1" applyFill="1" applyBorder="1" applyAlignment="1">
      <alignment horizontal="right" wrapText="1"/>
    </xf>
    <xf numFmtId="0" fontId="68" fillId="0" borderId="46" xfId="0" applyFont="1" applyFill="1" applyBorder="1" applyAlignment="1">
      <alignment/>
    </xf>
    <xf numFmtId="3" fontId="60" fillId="0" borderId="46" xfId="0" applyNumberFormat="1" applyFont="1" applyBorder="1" applyAlignment="1">
      <alignment horizontal="center" vertical="center" wrapText="1"/>
    </xf>
    <xf numFmtId="0" fontId="65" fillId="47" borderId="65" xfId="0" applyFont="1" applyFill="1" applyBorder="1" applyAlignment="1">
      <alignment horizontal="center" vertical="center" textRotation="90" wrapText="1"/>
    </xf>
    <xf numFmtId="0" fontId="68" fillId="0" borderId="60" xfId="0" applyFont="1" applyFill="1" applyBorder="1" applyAlignment="1">
      <alignment/>
    </xf>
    <xf numFmtId="4" fontId="60" fillId="0" borderId="60" xfId="0" applyNumberFormat="1" applyFont="1" applyBorder="1" applyAlignment="1">
      <alignment horizontal="center" vertical="center" wrapText="1"/>
    </xf>
    <xf numFmtId="3" fontId="60" fillId="48" borderId="12" xfId="0" applyNumberFormat="1" applyFont="1" applyFill="1" applyBorder="1" applyAlignment="1">
      <alignment horizontal="right"/>
    </xf>
    <xf numFmtId="0" fontId="66" fillId="0" borderId="13" xfId="0" applyFont="1" applyFill="1" applyBorder="1" applyAlignment="1">
      <alignment horizontal="left" vertical="center" wrapText="1"/>
    </xf>
    <xf numFmtId="3" fontId="60" fillId="0" borderId="13" xfId="0" applyNumberFormat="1" applyFont="1" applyFill="1" applyBorder="1" applyAlignment="1">
      <alignment horizontal="right"/>
    </xf>
    <xf numFmtId="4" fontId="60" fillId="0" borderId="13" xfId="0" applyNumberFormat="1" applyFont="1" applyFill="1" applyBorder="1" applyAlignment="1">
      <alignment horizontal="right"/>
    </xf>
    <xf numFmtId="0" fontId="65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vertical="center" textRotation="90" wrapText="1"/>
    </xf>
    <xf numFmtId="3" fontId="60" fillId="0" borderId="13" xfId="0" applyNumberFormat="1" applyFont="1" applyBorder="1" applyAlignment="1">
      <alignment horizontal="center" vertical="center"/>
    </xf>
    <xf numFmtId="4" fontId="60" fillId="0" borderId="13" xfId="0" applyNumberFormat="1" applyFont="1" applyBorder="1" applyAlignment="1">
      <alignment horizontal="center" vertical="center"/>
    </xf>
    <xf numFmtId="170" fontId="0" fillId="0" borderId="13" xfId="46" applyNumberFormat="1" applyFont="1" applyBorder="1" applyAlignment="1">
      <alignment vertical="center"/>
    </xf>
    <xf numFmtId="43" fontId="0" fillId="0" borderId="13" xfId="46" applyNumberFormat="1" applyFon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65" fillId="0" borderId="17" xfId="0" applyFont="1" applyFill="1" applyBorder="1" applyAlignment="1">
      <alignment horizontal="left" vertical="center" wrapText="1"/>
    </xf>
    <xf numFmtId="43" fontId="0" fillId="0" borderId="17" xfId="0" applyNumberFormat="1" applyFont="1" applyBorder="1" applyAlignment="1">
      <alignment horizontal="center"/>
    </xf>
    <xf numFmtId="0" fontId="66" fillId="48" borderId="29" xfId="0" applyFont="1" applyFill="1" applyBorder="1" applyAlignment="1">
      <alignment horizontal="left" vertical="center" wrapText="1"/>
    </xf>
    <xf numFmtId="4" fontId="60" fillId="48" borderId="29" xfId="0" applyNumberFormat="1" applyFont="1" applyFill="1" applyBorder="1" applyAlignment="1">
      <alignment horizontal="right"/>
    </xf>
    <xf numFmtId="170" fontId="0" fillId="0" borderId="26" xfId="46" applyNumberFormat="1" applyFont="1" applyBorder="1" applyAlignment="1">
      <alignment/>
    </xf>
    <xf numFmtId="2" fontId="0" fillId="0" borderId="13" xfId="0" applyNumberFormat="1" applyBorder="1" applyAlignment="1">
      <alignment/>
    </xf>
    <xf numFmtId="0" fontId="7" fillId="0" borderId="66" xfId="0" applyFont="1" applyFill="1" applyBorder="1" applyAlignment="1">
      <alignment wrapText="1"/>
    </xf>
    <xf numFmtId="4" fontId="7" fillId="0" borderId="66" xfId="0" applyNumberFormat="1" applyFont="1" applyFill="1" applyBorder="1" applyAlignment="1">
      <alignment horizontal="right" wrapText="1"/>
    </xf>
    <xf numFmtId="10" fontId="7" fillId="0" borderId="66" xfId="0" applyNumberFormat="1" applyFont="1" applyFill="1" applyBorder="1" applyAlignment="1">
      <alignment horizontal="right" wrapText="1"/>
    </xf>
    <xf numFmtId="9" fontId="60" fillId="39" borderId="35" xfId="0" applyNumberFormat="1" applyFont="1" applyFill="1" applyBorder="1" applyAlignment="1">
      <alignment horizontal="center" vertical="center" wrapText="1"/>
    </xf>
    <xf numFmtId="4" fontId="7" fillId="0" borderId="67" xfId="0" applyNumberFormat="1" applyFont="1" applyFill="1" applyBorder="1" applyAlignment="1">
      <alignment horizontal="right" wrapText="1"/>
    </xf>
    <xf numFmtId="4" fontId="60" fillId="3" borderId="63" xfId="0" applyNumberFormat="1" applyFont="1" applyFill="1" applyBorder="1" applyAlignment="1">
      <alignment horizontal="right" wrapText="1"/>
    </xf>
    <xf numFmtId="9" fontId="60" fillId="39" borderId="0" xfId="0" applyNumberFormat="1" applyFont="1" applyFill="1" applyBorder="1" applyAlignment="1">
      <alignment horizontal="center" vertical="center" wrapText="1"/>
    </xf>
    <xf numFmtId="9" fontId="60" fillId="39" borderId="36" xfId="0" applyNumberFormat="1" applyFont="1" applyFill="1" applyBorder="1" applyAlignment="1">
      <alignment horizontal="center" vertical="center" wrapText="1"/>
    </xf>
    <xf numFmtId="9" fontId="60" fillId="39" borderId="13" xfId="0" applyNumberFormat="1" applyFont="1" applyFill="1" applyBorder="1" applyAlignment="1">
      <alignment horizontal="center" vertical="center" wrapText="1"/>
    </xf>
    <xf numFmtId="0" fontId="7" fillId="4" borderId="66" xfId="0" applyFont="1" applyFill="1" applyBorder="1" applyAlignment="1">
      <alignment wrapText="1"/>
    </xf>
    <xf numFmtId="4" fontId="7" fillId="4" borderId="66" xfId="0" applyNumberFormat="1" applyFont="1" applyFill="1" applyBorder="1" applyAlignment="1">
      <alignment horizontal="right" wrapText="1"/>
    </xf>
    <xf numFmtId="10" fontId="7" fillId="4" borderId="66" xfId="0" applyNumberFormat="1" applyFont="1" applyFill="1" applyBorder="1" applyAlignment="1">
      <alignment wrapText="1"/>
    </xf>
    <xf numFmtId="10" fontId="7" fillId="4" borderId="66" xfId="0" applyNumberFormat="1" applyFont="1" applyFill="1" applyBorder="1" applyAlignment="1">
      <alignment horizontal="right" wrapText="1"/>
    </xf>
    <xf numFmtId="0" fontId="7" fillId="6" borderId="66" xfId="0" applyFont="1" applyFill="1" applyBorder="1" applyAlignment="1">
      <alignment wrapText="1"/>
    </xf>
    <xf numFmtId="4" fontId="7" fillId="6" borderId="66" xfId="0" applyNumberFormat="1" applyFont="1" applyFill="1" applyBorder="1" applyAlignment="1">
      <alignment horizontal="right" wrapText="1"/>
    </xf>
    <xf numFmtId="10" fontId="7" fillId="6" borderId="66" xfId="0" applyNumberFormat="1" applyFont="1" applyFill="1" applyBorder="1" applyAlignment="1">
      <alignment horizontal="right" wrapText="1"/>
    </xf>
    <xf numFmtId="4" fontId="76" fillId="6" borderId="66" xfId="0" applyNumberFormat="1" applyFont="1" applyFill="1" applyBorder="1" applyAlignment="1">
      <alignment horizontal="right" wrapText="1"/>
    </xf>
    <xf numFmtId="170" fontId="29" fillId="0" borderId="0" xfId="46" applyNumberFormat="1" applyFont="1" applyAlignment="1">
      <alignment/>
    </xf>
    <xf numFmtId="10" fontId="29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 vertical="center" wrapText="1"/>
    </xf>
    <xf numFmtId="170" fontId="0" fillId="0" borderId="13" xfId="46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0" fontId="0" fillId="0" borderId="14" xfId="0" applyNumberFormat="1" applyBorder="1" applyAlignment="1">
      <alignment/>
    </xf>
    <xf numFmtId="10" fontId="0" fillId="0" borderId="18" xfId="0" applyNumberForma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10" fontId="0" fillId="0" borderId="27" xfId="0" applyNumberFormat="1" applyBorder="1" applyAlignment="1">
      <alignment/>
    </xf>
    <xf numFmtId="170" fontId="0" fillId="0" borderId="26" xfId="46" applyNumberFormat="1" applyFont="1" applyBorder="1" applyAlignment="1">
      <alignment/>
    </xf>
    <xf numFmtId="170" fontId="0" fillId="0" borderId="17" xfId="46" applyNumberFormat="1" applyFont="1" applyBorder="1" applyAlignment="1">
      <alignment/>
    </xf>
    <xf numFmtId="170" fontId="0" fillId="0" borderId="13" xfId="46" applyNumberFormat="1" applyFont="1" applyBorder="1" applyAlignment="1">
      <alignment vertical="center"/>
    </xf>
    <xf numFmtId="0" fontId="0" fillId="49" borderId="13" xfId="0" applyFill="1" applyBorder="1" applyAlignment="1">
      <alignment horizontal="left" vertical="center" wrapText="1"/>
    </xf>
    <xf numFmtId="170" fontId="0" fillId="49" borderId="13" xfId="46" applyNumberFormat="1" applyFont="1" applyFill="1" applyBorder="1" applyAlignment="1">
      <alignment/>
    </xf>
    <xf numFmtId="10" fontId="0" fillId="49" borderId="14" xfId="0" applyNumberFormat="1" applyFill="1" applyBorder="1" applyAlignment="1">
      <alignment/>
    </xf>
    <xf numFmtId="170" fontId="0" fillId="49" borderId="13" xfId="46" applyNumberFormat="1" applyFont="1" applyFill="1" applyBorder="1" applyAlignment="1">
      <alignment vertical="center"/>
    </xf>
    <xf numFmtId="0" fontId="0" fillId="0" borderId="14" xfId="0" applyNumberFormat="1" applyBorder="1" applyAlignment="1">
      <alignment/>
    </xf>
    <xf numFmtId="0" fontId="0" fillId="32" borderId="13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170" fontId="0" fillId="32" borderId="13" xfId="46" applyNumberFormat="1" applyFont="1" applyFill="1" applyBorder="1" applyAlignment="1">
      <alignment/>
    </xf>
    <xf numFmtId="10" fontId="0" fillId="32" borderId="14" xfId="0" applyNumberFormat="1" applyFill="1" applyBorder="1" applyAlignment="1">
      <alignment/>
    </xf>
    <xf numFmtId="170" fontId="0" fillId="32" borderId="13" xfId="46" applyNumberFormat="1" applyFont="1" applyFill="1" applyBorder="1" applyAlignment="1">
      <alignment vertical="center"/>
    </xf>
    <xf numFmtId="170" fontId="0" fillId="0" borderId="14" xfId="46" applyNumberFormat="1" applyFont="1" applyBorder="1" applyAlignment="1">
      <alignment/>
    </xf>
    <xf numFmtId="170" fontId="0" fillId="0" borderId="18" xfId="46" applyNumberFormat="1" applyFont="1" applyBorder="1" applyAlignment="1">
      <alignment/>
    </xf>
    <xf numFmtId="170" fontId="0" fillId="39" borderId="12" xfId="46" applyNumberFormat="1" applyFont="1" applyFill="1" applyBorder="1" applyAlignment="1">
      <alignment horizontal="center" vertical="center" wrapText="1"/>
    </xf>
    <xf numFmtId="170" fontId="0" fillId="39" borderId="24" xfId="46" applyNumberFormat="1" applyFont="1" applyFill="1" applyBorder="1" applyAlignment="1">
      <alignment horizontal="center" vertical="center" wrapText="1"/>
    </xf>
    <xf numFmtId="0" fontId="7" fillId="50" borderId="66" xfId="0" applyFont="1" applyFill="1" applyBorder="1" applyAlignment="1">
      <alignment wrapText="1"/>
    </xf>
    <xf numFmtId="4" fontId="7" fillId="50" borderId="66" xfId="0" applyNumberFormat="1" applyFont="1" applyFill="1" applyBorder="1" applyAlignment="1">
      <alignment horizontal="right" wrapText="1"/>
    </xf>
    <xf numFmtId="0" fontId="0" fillId="6" borderId="13" xfId="0" applyFill="1" applyBorder="1" applyAlignment="1">
      <alignment horizontal="left" vertical="center" wrapText="1"/>
    </xf>
    <xf numFmtId="170" fontId="0" fillId="6" borderId="13" xfId="46" applyNumberFormat="1" applyFont="1" applyFill="1" applyBorder="1" applyAlignment="1">
      <alignment vertical="center"/>
    </xf>
    <xf numFmtId="170" fontId="0" fillId="6" borderId="14" xfId="46" applyNumberFormat="1" applyFont="1" applyFill="1" applyBorder="1" applyAlignment="1">
      <alignment/>
    </xf>
    <xf numFmtId="0" fontId="77" fillId="0" borderId="0" xfId="0" applyFont="1" applyAlignment="1">
      <alignment wrapText="1"/>
    </xf>
    <xf numFmtId="0" fontId="1" fillId="0" borderId="66" xfId="0" applyFont="1" applyFill="1" applyBorder="1" applyAlignment="1">
      <alignment wrapText="1"/>
    </xf>
    <xf numFmtId="4" fontId="1" fillId="0" borderId="66" xfId="0" applyNumberFormat="1" applyFont="1" applyFill="1" applyBorder="1" applyAlignment="1">
      <alignment horizontal="right" wrapText="1"/>
    </xf>
    <xf numFmtId="170" fontId="0" fillId="39" borderId="0" xfId="46" applyNumberFormat="1" applyFont="1" applyFill="1" applyBorder="1" applyAlignment="1">
      <alignment horizontal="center" vertical="center" wrapText="1"/>
    </xf>
    <xf numFmtId="170" fontId="0" fillId="0" borderId="0" xfId="46" applyNumberFormat="1" applyFont="1" applyBorder="1" applyAlignment="1">
      <alignment horizontal="center" wrapText="1"/>
    </xf>
    <xf numFmtId="10" fontId="0" fillId="0" borderId="13" xfId="46" applyNumberFormat="1" applyFont="1" applyBorder="1" applyAlignment="1">
      <alignment/>
    </xf>
    <xf numFmtId="10" fontId="0" fillId="6" borderId="13" xfId="46" applyNumberFormat="1" applyFont="1" applyFill="1" applyBorder="1" applyAlignment="1">
      <alignment/>
    </xf>
    <xf numFmtId="10" fontId="1" fillId="0" borderId="66" xfId="0" applyNumberFormat="1" applyFont="1" applyFill="1" applyBorder="1" applyAlignment="1">
      <alignment horizontal="right" wrapText="1"/>
    </xf>
    <xf numFmtId="10" fontId="0" fillId="0" borderId="17" xfId="46" applyNumberFormat="1" applyFont="1" applyBorder="1" applyAlignment="1">
      <alignment/>
    </xf>
    <xf numFmtId="2" fontId="0" fillId="0" borderId="13" xfId="46" applyNumberFormat="1" applyFont="1" applyBorder="1" applyAlignment="1">
      <alignment/>
    </xf>
    <xf numFmtId="2" fontId="0" fillId="6" borderId="13" xfId="46" applyNumberFormat="1" applyFont="1" applyFill="1" applyBorder="1" applyAlignment="1">
      <alignment/>
    </xf>
    <xf numFmtId="2" fontId="1" fillId="0" borderId="66" xfId="0" applyNumberFormat="1" applyFont="1" applyFill="1" applyBorder="1" applyAlignment="1">
      <alignment horizontal="right" wrapText="1"/>
    </xf>
    <xf numFmtId="2" fontId="0" fillId="0" borderId="17" xfId="46" applyNumberFormat="1" applyFont="1" applyBorder="1" applyAlignment="1">
      <alignment/>
    </xf>
    <xf numFmtId="170" fontId="0" fillId="6" borderId="14" xfId="46" applyNumberFormat="1" applyFont="1" applyFill="1" applyBorder="1" applyAlignment="1">
      <alignment vertical="center"/>
    </xf>
    <xf numFmtId="10" fontId="0" fillId="0" borderId="13" xfId="46" applyNumberFormat="1" applyFont="1" applyBorder="1" applyAlignment="1">
      <alignment vertical="center"/>
    </xf>
    <xf numFmtId="10" fontId="0" fillId="6" borderId="13" xfId="46" applyNumberFormat="1" applyFont="1" applyFill="1" applyBorder="1" applyAlignment="1">
      <alignment vertical="center"/>
    </xf>
    <xf numFmtId="9" fontId="0" fillId="0" borderId="14" xfId="0" applyNumberFormat="1" applyBorder="1" applyAlignment="1">
      <alignment/>
    </xf>
    <xf numFmtId="0" fontId="7" fillId="29" borderId="66" xfId="0" applyFont="1" applyFill="1" applyBorder="1" applyAlignment="1">
      <alignment wrapText="1"/>
    </xf>
    <xf numFmtId="4" fontId="7" fillId="29" borderId="66" xfId="0" applyNumberFormat="1" applyFont="1" applyFill="1" applyBorder="1" applyAlignment="1">
      <alignment horizontal="right" wrapText="1"/>
    </xf>
    <xf numFmtId="0" fontId="66" fillId="3" borderId="13" xfId="0" applyFont="1" applyFill="1" applyBorder="1" applyAlignment="1">
      <alignment vertical="center" wrapText="1"/>
    </xf>
    <xf numFmtId="4" fontId="7" fillId="0" borderId="13" xfId="0" applyNumberFormat="1" applyFont="1" applyFill="1" applyBorder="1" applyAlignment="1">
      <alignment horizontal="right" wrapText="1"/>
    </xf>
    <xf numFmtId="170" fontId="60" fillId="39" borderId="13" xfId="46" applyNumberFormat="1" applyFont="1" applyFill="1" applyBorder="1" applyAlignment="1">
      <alignment horizontal="center" vertical="center" wrapText="1"/>
    </xf>
    <xf numFmtId="9" fontId="60" fillId="39" borderId="14" xfId="0" applyNumberFormat="1" applyFont="1" applyFill="1" applyBorder="1" applyAlignment="1">
      <alignment horizontal="center" vertical="center" wrapText="1"/>
    </xf>
    <xf numFmtId="3" fontId="60" fillId="10" borderId="13" xfId="0" applyNumberFormat="1" applyFont="1" applyFill="1" applyBorder="1" applyAlignment="1">
      <alignment horizontal="right" vertical="center" wrapText="1"/>
    </xf>
    <xf numFmtId="3" fontId="60" fillId="0" borderId="13" xfId="0" applyNumberFormat="1" applyFont="1" applyFill="1" applyBorder="1" applyAlignment="1">
      <alignment horizontal="right" vertical="center" wrapText="1"/>
    </xf>
    <xf numFmtId="3" fontId="60" fillId="2" borderId="13" xfId="0" applyNumberFormat="1" applyFont="1" applyFill="1" applyBorder="1" applyAlignment="1">
      <alignment horizontal="right" vertical="center" wrapText="1"/>
    </xf>
    <xf numFmtId="3" fontId="60" fillId="2" borderId="13" xfId="0" applyNumberFormat="1" applyFont="1" applyFill="1" applyBorder="1" applyAlignment="1">
      <alignment horizontal="right" vertical="center"/>
    </xf>
    <xf numFmtId="3" fontId="60" fillId="10" borderId="13" xfId="0" applyNumberFormat="1" applyFont="1" applyFill="1" applyBorder="1" applyAlignment="1">
      <alignment horizontal="right" vertical="center"/>
    </xf>
    <xf numFmtId="0" fontId="65" fillId="46" borderId="17" xfId="0" applyFont="1" applyFill="1" applyBorder="1" applyAlignment="1">
      <alignment horizontal="left" vertical="center" wrapText="1"/>
    </xf>
    <xf numFmtId="3" fontId="60" fillId="46" borderId="17" xfId="0" applyNumberFormat="1" applyFont="1" applyFill="1" applyBorder="1" applyAlignment="1">
      <alignment horizontal="right" vertical="center"/>
    </xf>
    <xf numFmtId="170" fontId="60" fillId="39" borderId="17" xfId="46" applyNumberFormat="1" applyFont="1" applyFill="1" applyBorder="1" applyAlignment="1">
      <alignment horizontal="center" vertical="center" wrapText="1"/>
    </xf>
    <xf numFmtId="9" fontId="60" fillId="39" borderId="18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70" fontId="0" fillId="0" borderId="0" xfId="46" applyNumberFormat="1" applyFont="1" applyAlignment="1">
      <alignment/>
    </xf>
    <xf numFmtId="0" fontId="0" fillId="51" borderId="13" xfId="0" applyFill="1" applyBorder="1" applyAlignment="1">
      <alignment horizontal="left" vertical="center" wrapText="1"/>
    </xf>
    <xf numFmtId="170" fontId="0" fillId="51" borderId="13" xfId="46" applyNumberFormat="1" applyFont="1" applyFill="1" applyBorder="1" applyAlignment="1">
      <alignment/>
    </xf>
    <xf numFmtId="0" fontId="0" fillId="0" borderId="13" xfId="0" applyFill="1" applyBorder="1" applyAlignment="1">
      <alignment horizontal="left" vertical="center" wrapText="1"/>
    </xf>
    <xf numFmtId="170" fontId="0" fillId="0" borderId="13" xfId="46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9" fontId="0" fillId="51" borderId="14" xfId="0" applyNumberFormat="1" applyFill="1" applyBorder="1" applyAlignment="1">
      <alignment/>
    </xf>
    <xf numFmtId="170" fontId="0" fillId="51" borderId="13" xfId="46" applyNumberFormat="1" applyFont="1" applyFill="1" applyBorder="1" applyAlignment="1">
      <alignment vertical="center"/>
    </xf>
    <xf numFmtId="10" fontId="0" fillId="51" borderId="14" xfId="0" applyNumberFormat="1" applyFill="1" applyBorder="1" applyAlignment="1">
      <alignment vertical="center"/>
    </xf>
    <xf numFmtId="170" fontId="0" fillId="0" borderId="13" xfId="46" applyNumberFormat="1" applyFont="1" applyBorder="1" applyAlignment="1">
      <alignment horizontal="center" vertical="center"/>
    </xf>
    <xf numFmtId="9" fontId="0" fillId="0" borderId="0" xfId="53" applyFont="1" applyAlignment="1">
      <alignment/>
    </xf>
    <xf numFmtId="170" fontId="0" fillId="48" borderId="13" xfId="46" applyNumberFormat="1" applyFont="1" applyFill="1" applyBorder="1" applyAlignment="1">
      <alignment/>
    </xf>
    <xf numFmtId="9" fontId="0" fillId="48" borderId="14" xfId="53" applyFont="1" applyFill="1" applyBorder="1" applyAlignment="1">
      <alignment/>
    </xf>
    <xf numFmtId="170" fontId="0" fillId="52" borderId="13" xfId="0" applyNumberFormat="1" applyFill="1" applyBorder="1" applyAlignment="1">
      <alignment/>
    </xf>
    <xf numFmtId="10" fontId="0" fillId="52" borderId="14" xfId="53" applyNumberFormat="1" applyFont="1" applyFill="1" applyBorder="1" applyAlignment="1">
      <alignment/>
    </xf>
    <xf numFmtId="170" fontId="0" fillId="44" borderId="13" xfId="46" applyNumberFormat="1" applyFont="1" applyFill="1" applyBorder="1" applyAlignment="1">
      <alignment/>
    </xf>
    <xf numFmtId="9" fontId="0" fillId="44" borderId="14" xfId="0" applyNumberFormat="1" applyFill="1" applyBorder="1" applyAlignment="1">
      <alignment/>
    </xf>
    <xf numFmtId="170" fontId="0" fillId="53" borderId="13" xfId="46" applyNumberFormat="1" applyFont="1" applyFill="1" applyBorder="1" applyAlignment="1">
      <alignment/>
    </xf>
    <xf numFmtId="9" fontId="0" fillId="53" borderId="14" xfId="53" applyFont="1" applyFill="1" applyBorder="1" applyAlignment="1">
      <alignment/>
    </xf>
    <xf numFmtId="0" fontId="0" fillId="39" borderId="23" xfId="0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/>
    </xf>
    <xf numFmtId="43" fontId="7" fillId="0" borderId="13" xfId="46" applyFont="1" applyFill="1" applyBorder="1" applyAlignment="1">
      <alignment horizontal="right" wrapText="1"/>
    </xf>
    <xf numFmtId="0" fontId="65" fillId="0" borderId="13" xfId="0" applyFont="1" applyBorder="1" applyAlignment="1">
      <alignment vertical="center" wrapText="1"/>
    </xf>
    <xf numFmtId="0" fontId="1" fillId="0" borderId="13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horizontal="right" wrapText="1"/>
    </xf>
    <xf numFmtId="170" fontId="0" fillId="0" borderId="17" xfId="46" applyNumberFormat="1" applyFont="1" applyBorder="1" applyAlignment="1">
      <alignment horizontal="center" vertical="center"/>
    </xf>
    <xf numFmtId="0" fontId="28" fillId="0" borderId="13" xfId="51" applyFont="1" applyFill="1" applyBorder="1" applyAlignment="1">
      <alignment wrapText="1"/>
      <protection/>
    </xf>
    <xf numFmtId="0" fontId="0" fillId="0" borderId="13" xfId="0" applyFill="1" applyBorder="1" applyAlignment="1">
      <alignment horizontal="left" wrapText="1"/>
    </xf>
    <xf numFmtId="9" fontId="0" fillId="51" borderId="14" xfId="53" applyFont="1" applyFill="1" applyBorder="1" applyAlignment="1">
      <alignment vertical="center"/>
    </xf>
    <xf numFmtId="43" fontId="28" fillId="0" borderId="13" xfId="46" applyFont="1" applyFill="1" applyBorder="1" applyAlignment="1">
      <alignment horizontal="right" wrapText="1"/>
    </xf>
    <xf numFmtId="169" fontId="28" fillId="0" borderId="13" xfId="48" applyFont="1" applyFill="1" applyBorder="1" applyAlignment="1">
      <alignment horizontal="right" wrapText="1"/>
    </xf>
    <xf numFmtId="170" fontId="65" fillId="0" borderId="13" xfId="46" applyNumberFormat="1" applyFont="1" applyBorder="1" applyAlignment="1">
      <alignment/>
    </xf>
    <xf numFmtId="170" fontId="65" fillId="0" borderId="13" xfId="46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57" fillId="0" borderId="0" xfId="0" applyFont="1" applyAlignment="1">
      <alignment horizontal="center"/>
    </xf>
    <xf numFmtId="0" fontId="75" fillId="0" borderId="51" xfId="0" applyFont="1" applyBorder="1" applyAlignment="1">
      <alignment horizontal="left"/>
    </xf>
    <xf numFmtId="0" fontId="75" fillId="0" borderId="52" xfId="0" applyFont="1" applyBorder="1" applyAlignment="1">
      <alignment horizontal="left"/>
    </xf>
    <xf numFmtId="0" fontId="5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78" fillId="39" borderId="19" xfId="0" applyFont="1" applyFill="1" applyBorder="1" applyAlignment="1">
      <alignment horizontal="center" vertical="center"/>
    </xf>
    <xf numFmtId="0" fontId="78" fillId="39" borderId="21" xfId="0" applyFont="1" applyFill="1" applyBorder="1" applyAlignment="1">
      <alignment horizontal="center" vertical="center"/>
    </xf>
    <xf numFmtId="0" fontId="79" fillId="39" borderId="68" xfId="0" applyFont="1" applyFill="1" applyBorder="1" applyAlignment="1">
      <alignment horizontal="center"/>
    </xf>
    <xf numFmtId="0" fontId="79" fillId="39" borderId="69" xfId="0" applyFont="1" applyFill="1" applyBorder="1" applyAlignment="1">
      <alignment horizontal="center"/>
    </xf>
    <xf numFmtId="0" fontId="79" fillId="39" borderId="70" xfId="0" applyFont="1" applyFill="1" applyBorder="1" applyAlignment="1">
      <alignment horizontal="center"/>
    </xf>
    <xf numFmtId="0" fontId="75" fillId="0" borderId="19" xfId="0" applyFont="1" applyBorder="1" applyAlignment="1">
      <alignment horizontal="left"/>
    </xf>
    <xf numFmtId="0" fontId="75" fillId="0" borderId="21" xfId="0" applyFont="1" applyBorder="1" applyAlignment="1">
      <alignment horizontal="left"/>
    </xf>
    <xf numFmtId="0" fontId="80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61" fillId="0" borderId="55" xfId="0" applyFont="1" applyBorder="1" applyAlignment="1">
      <alignment horizontal="center"/>
    </xf>
    <xf numFmtId="0" fontId="61" fillId="0" borderId="0" xfId="0" applyFont="1" applyAlignment="1">
      <alignment horizontal="center" wrapText="1"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  <xf numFmtId="0" fontId="65" fillId="0" borderId="58" xfId="0" applyFont="1" applyBorder="1" applyAlignment="1">
      <alignment horizontal="center" vertical="center" textRotation="90"/>
    </xf>
    <xf numFmtId="0" fontId="65" fillId="0" borderId="41" xfId="0" applyFont="1" applyBorder="1" applyAlignment="1">
      <alignment horizontal="center" vertical="center" textRotation="90"/>
    </xf>
    <xf numFmtId="0" fontId="65" fillId="0" borderId="19" xfId="0" applyFont="1" applyBorder="1" applyAlignment="1">
      <alignment horizontal="center" vertical="center" textRotation="90"/>
    </xf>
    <xf numFmtId="0" fontId="65" fillId="0" borderId="45" xfId="0" applyFont="1" applyBorder="1" applyAlignment="1">
      <alignment horizontal="center" vertical="center" textRotation="90"/>
    </xf>
    <xf numFmtId="0" fontId="65" fillId="0" borderId="51" xfId="0" applyFont="1" applyBorder="1" applyAlignment="1">
      <alignment horizontal="center" vertical="center" textRotation="90"/>
    </xf>
    <xf numFmtId="0" fontId="65" fillId="0" borderId="46" xfId="0" applyFont="1" applyFill="1" applyBorder="1" applyAlignment="1">
      <alignment horizontal="center" vertical="center" textRotation="90" wrapText="1"/>
    </xf>
    <xf numFmtId="0" fontId="65" fillId="0" borderId="60" xfId="0" applyFont="1" applyFill="1" applyBorder="1" applyAlignment="1">
      <alignment horizontal="center" vertical="center" textRotation="90" wrapText="1"/>
    </xf>
    <xf numFmtId="0" fontId="65" fillId="0" borderId="71" xfId="0" applyFont="1" applyFill="1" applyBorder="1" applyAlignment="1">
      <alignment horizontal="center" vertical="center" textRotation="90" wrapText="1"/>
    </xf>
    <xf numFmtId="0" fontId="65" fillId="0" borderId="61" xfId="0" applyFont="1" applyBorder="1" applyAlignment="1">
      <alignment horizontal="center" vertical="center" wrapText="1"/>
    </xf>
    <xf numFmtId="0" fontId="65" fillId="0" borderId="55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 wrapText="1"/>
    </xf>
    <xf numFmtId="0" fontId="65" fillId="0" borderId="21" xfId="0" applyFont="1" applyFill="1" applyBorder="1" applyAlignment="1">
      <alignment horizontal="left" vertical="center" wrapText="1"/>
    </xf>
    <xf numFmtId="0" fontId="65" fillId="0" borderId="46" xfId="0" applyFont="1" applyBorder="1" applyAlignment="1">
      <alignment horizontal="left" vertical="center" wrapText="1"/>
    </xf>
    <xf numFmtId="0" fontId="65" fillId="0" borderId="52" xfId="0" applyFont="1" applyBorder="1" applyAlignment="1">
      <alignment horizontal="left" vertical="center" wrapText="1"/>
    </xf>
    <xf numFmtId="0" fontId="65" fillId="0" borderId="21" xfId="0" applyFont="1" applyFill="1" applyBorder="1" applyAlignment="1">
      <alignment horizontal="center" vertical="center" textRotation="90" wrapText="1"/>
    </xf>
    <xf numFmtId="0" fontId="65" fillId="0" borderId="52" xfId="0" applyFont="1" applyFill="1" applyBorder="1" applyAlignment="1">
      <alignment horizontal="center" vertical="center" textRotation="90" wrapText="1"/>
    </xf>
    <xf numFmtId="0" fontId="65" fillId="0" borderId="56" xfId="0" applyFont="1" applyFill="1" applyBorder="1" applyAlignment="1">
      <alignment horizontal="center" vertical="center" textRotation="90" wrapText="1"/>
    </xf>
    <xf numFmtId="0" fontId="65" fillId="0" borderId="42" xfId="0" applyFont="1" applyFill="1" applyBorder="1" applyAlignment="1">
      <alignment horizontal="center" vertical="center" textRotation="90" wrapText="1"/>
    </xf>
    <xf numFmtId="0" fontId="66" fillId="3" borderId="56" xfId="0" applyFont="1" applyFill="1" applyBorder="1" applyAlignment="1">
      <alignment horizontal="center" vertical="center" wrapText="1"/>
    </xf>
    <xf numFmtId="0" fontId="65" fillId="2" borderId="21" xfId="0" applyFont="1" applyFill="1" applyBorder="1" applyAlignment="1">
      <alignment horizontal="center" vertical="center" wrapText="1"/>
    </xf>
    <xf numFmtId="3" fontId="60" fillId="0" borderId="21" xfId="0" applyNumberFormat="1" applyFont="1" applyBorder="1" applyAlignment="1">
      <alignment horizontal="center" vertical="center" wrapText="1"/>
    </xf>
    <xf numFmtId="3" fontId="60" fillId="0" borderId="46" xfId="0" applyNumberFormat="1" applyFont="1" applyBorder="1" applyAlignment="1">
      <alignment horizontal="center" vertical="center" wrapText="1"/>
    </xf>
    <xf numFmtId="3" fontId="60" fillId="0" borderId="5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65" fillId="0" borderId="46" xfId="0" applyFont="1" applyFill="1" applyBorder="1" applyAlignment="1">
      <alignment horizontal="center" vertical="center" wrapText="1"/>
    </xf>
    <xf numFmtId="0" fontId="65" fillId="0" borderId="60" xfId="0" applyFont="1" applyFill="1" applyBorder="1" applyAlignment="1">
      <alignment horizontal="center" vertical="center" wrapText="1"/>
    </xf>
    <xf numFmtId="0" fontId="65" fillId="0" borderId="71" xfId="0" applyFont="1" applyFill="1" applyBorder="1" applyAlignment="1">
      <alignment horizontal="center" vertical="center" wrapText="1"/>
    </xf>
    <xf numFmtId="0" fontId="66" fillId="43" borderId="56" xfId="0" applyFont="1" applyFill="1" applyBorder="1" applyAlignment="1">
      <alignment horizontal="left" vertical="center" wrapText="1"/>
    </xf>
    <xf numFmtId="0" fontId="65" fillId="0" borderId="42" xfId="0" applyFont="1" applyFill="1" applyBorder="1" applyAlignment="1">
      <alignment horizontal="center" vertical="center" wrapText="1"/>
    </xf>
    <xf numFmtId="0" fontId="65" fillId="47" borderId="58" xfId="0" applyFont="1" applyFill="1" applyBorder="1" applyAlignment="1">
      <alignment horizontal="center" vertical="center" textRotation="90" wrapText="1"/>
    </xf>
    <xf numFmtId="0" fontId="65" fillId="47" borderId="41" xfId="0" applyFont="1" applyFill="1" applyBorder="1" applyAlignment="1">
      <alignment horizontal="center" vertical="center" textRotation="90" wrapText="1"/>
    </xf>
    <xf numFmtId="0" fontId="65" fillId="47" borderId="19" xfId="0" applyFont="1" applyFill="1" applyBorder="1" applyAlignment="1">
      <alignment horizontal="center" vertical="center" textRotation="90" wrapText="1"/>
    </xf>
    <xf numFmtId="0" fontId="65" fillId="47" borderId="45" xfId="0" applyFont="1" applyFill="1" applyBorder="1" applyAlignment="1">
      <alignment horizontal="center" vertical="center" textRotation="90" wrapText="1"/>
    </xf>
    <xf numFmtId="0" fontId="65" fillId="47" borderId="51" xfId="0" applyFont="1" applyFill="1" applyBorder="1" applyAlignment="1">
      <alignment horizontal="center" vertical="center" textRotation="90" wrapText="1"/>
    </xf>
    <xf numFmtId="0" fontId="57" fillId="0" borderId="55" xfId="0" applyFont="1" applyBorder="1" applyAlignment="1">
      <alignment horizontal="center"/>
    </xf>
    <xf numFmtId="0" fontId="65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8" fillId="39" borderId="72" xfId="0" applyFont="1" applyFill="1" applyBorder="1" applyAlignment="1">
      <alignment horizontal="center" vertical="center" wrapText="1"/>
    </xf>
    <xf numFmtId="0" fontId="58" fillId="39" borderId="7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66" fillId="48" borderId="12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vertical="center" textRotation="90" wrapText="1"/>
    </xf>
    <xf numFmtId="0" fontId="65" fillId="0" borderId="13" xfId="0" applyFont="1" applyFill="1" applyBorder="1" applyAlignment="1">
      <alignment horizontal="center" vertical="center" textRotation="90" wrapText="1"/>
    </xf>
    <xf numFmtId="0" fontId="65" fillId="54" borderId="74" xfId="0" applyFont="1" applyFill="1" applyBorder="1" applyAlignment="1">
      <alignment horizontal="center" vertical="center" textRotation="90" wrapText="1"/>
    </xf>
    <xf numFmtId="0" fontId="65" fillId="54" borderId="62" xfId="0" applyFont="1" applyFill="1" applyBorder="1" applyAlignment="1">
      <alignment horizontal="center" vertical="center" textRotation="90" wrapText="1"/>
    </xf>
    <xf numFmtId="0" fontId="65" fillId="54" borderId="75" xfId="0" applyFont="1" applyFill="1" applyBorder="1" applyAlignment="1">
      <alignment horizontal="center" vertical="center" textRotation="90" wrapText="1"/>
    </xf>
    <xf numFmtId="0" fontId="65" fillId="54" borderId="76" xfId="0" applyFont="1" applyFill="1" applyBorder="1" applyAlignment="1">
      <alignment horizontal="center" vertical="center" textRotation="90" wrapText="1"/>
    </xf>
    <xf numFmtId="0" fontId="65" fillId="0" borderId="17" xfId="0" applyFont="1" applyFill="1" applyBorder="1" applyAlignment="1">
      <alignment horizontal="center" vertical="center" textRotation="90" wrapText="1"/>
    </xf>
    <xf numFmtId="0" fontId="65" fillId="0" borderId="17" xfId="0" applyFont="1" applyFill="1" applyBorder="1" applyAlignment="1">
      <alignment horizontal="center" vertical="center" wrapText="1"/>
    </xf>
    <xf numFmtId="3" fontId="60" fillId="0" borderId="13" xfId="0" applyNumberFormat="1" applyFont="1" applyBorder="1" applyAlignment="1">
      <alignment horizontal="center" vertical="center"/>
    </xf>
    <xf numFmtId="0" fontId="65" fillId="3" borderId="21" xfId="0" applyFont="1" applyFill="1" applyBorder="1" applyAlignment="1">
      <alignment horizontal="left" vertical="center" wrapText="1"/>
    </xf>
    <xf numFmtId="0" fontId="65" fillId="3" borderId="21" xfId="0" applyFont="1" applyFill="1" applyBorder="1" applyAlignment="1">
      <alignment horizontal="left" wrapText="1"/>
    </xf>
    <xf numFmtId="0" fontId="65" fillId="0" borderId="21" xfId="0" applyFont="1" applyFill="1" applyBorder="1" applyAlignment="1">
      <alignment horizont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/>
    </xf>
    <xf numFmtId="0" fontId="65" fillId="0" borderId="60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left" vertical="center"/>
    </xf>
    <xf numFmtId="0" fontId="65" fillId="0" borderId="77" xfId="0" applyFont="1" applyBorder="1" applyAlignment="1">
      <alignment horizontal="center" vertical="center" textRotation="90"/>
    </xf>
    <xf numFmtId="0" fontId="65" fillId="0" borderId="65" xfId="0" applyFont="1" applyBorder="1" applyAlignment="1">
      <alignment horizontal="center" vertical="center" textRotation="90"/>
    </xf>
    <xf numFmtId="0" fontId="65" fillId="0" borderId="78" xfId="0" applyFont="1" applyBorder="1" applyAlignment="1">
      <alignment horizontal="center" vertical="center" textRotation="90"/>
    </xf>
    <xf numFmtId="0" fontId="65" fillId="0" borderId="79" xfId="0" applyFont="1" applyBorder="1" applyAlignment="1">
      <alignment horizontal="center" vertical="center" wrapText="1"/>
    </xf>
    <xf numFmtId="0" fontId="65" fillId="0" borderId="62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80" xfId="0" applyFont="1" applyFill="1" applyBorder="1" applyAlignment="1">
      <alignment horizontal="center" vertical="center" textRotation="90" wrapText="1"/>
    </xf>
    <xf numFmtId="0" fontId="65" fillId="0" borderId="81" xfId="0" applyFont="1" applyFill="1" applyBorder="1" applyAlignment="1">
      <alignment horizontal="center" vertical="center" textRotation="90" wrapText="1"/>
    </xf>
    <xf numFmtId="0" fontId="65" fillId="0" borderId="82" xfId="0" applyFont="1" applyFill="1" applyBorder="1" applyAlignment="1">
      <alignment horizontal="center" vertical="center" textRotation="90" wrapText="1"/>
    </xf>
    <xf numFmtId="0" fontId="65" fillId="3" borderId="46" xfId="0" applyFont="1" applyFill="1" applyBorder="1" applyAlignment="1">
      <alignment horizontal="left" wrapText="1"/>
    </xf>
    <xf numFmtId="0" fontId="57" fillId="0" borderId="83" xfId="0" applyFont="1" applyBorder="1" applyAlignment="1">
      <alignment horizontal="center" vertical="center" wrapText="1"/>
    </xf>
    <xf numFmtId="0" fontId="57" fillId="0" borderId="84" xfId="0" applyFont="1" applyBorder="1" applyAlignment="1">
      <alignment horizontal="center" vertical="center" wrapText="1"/>
    </xf>
    <xf numFmtId="0" fontId="57" fillId="0" borderId="85" xfId="0" applyFont="1" applyBorder="1" applyAlignment="1">
      <alignment horizontal="center" vertical="center" wrapText="1"/>
    </xf>
    <xf numFmtId="0" fontId="57" fillId="32" borderId="86" xfId="0" applyFont="1" applyFill="1" applyBorder="1" applyAlignment="1">
      <alignment horizontal="left" vertical="center" wrapText="1"/>
    </xf>
    <xf numFmtId="0" fontId="57" fillId="32" borderId="87" xfId="0" applyFont="1" applyFill="1" applyBorder="1" applyAlignment="1">
      <alignment horizontal="left" vertical="center" wrapText="1"/>
    </xf>
    <xf numFmtId="0" fontId="57" fillId="32" borderId="88" xfId="0" applyFont="1" applyFill="1" applyBorder="1" applyAlignment="1">
      <alignment horizontal="left" vertical="center" wrapText="1"/>
    </xf>
    <xf numFmtId="0" fontId="65" fillId="0" borderId="26" xfId="0" applyFont="1" applyFill="1" applyBorder="1" applyAlignment="1">
      <alignment horizontal="center" vertical="center" textRotation="90" wrapText="1"/>
    </xf>
    <xf numFmtId="0" fontId="65" fillId="55" borderId="89" xfId="0" applyFont="1" applyFill="1" applyBorder="1" applyAlignment="1">
      <alignment horizontal="center" vertical="center" textRotation="90" wrapText="1"/>
    </xf>
    <xf numFmtId="0" fontId="65" fillId="55" borderId="41" xfId="0" applyFont="1" applyFill="1" applyBorder="1" applyAlignment="1">
      <alignment horizontal="center" vertical="center" textRotation="90" wrapText="1"/>
    </xf>
    <xf numFmtId="0" fontId="65" fillId="55" borderId="19" xfId="0" applyFont="1" applyFill="1" applyBorder="1" applyAlignment="1">
      <alignment horizontal="center" vertical="center" textRotation="90" wrapText="1"/>
    </xf>
    <xf numFmtId="0" fontId="65" fillId="55" borderId="45" xfId="0" applyFont="1" applyFill="1" applyBorder="1" applyAlignment="1">
      <alignment horizontal="center" vertical="center" textRotation="90" wrapText="1"/>
    </xf>
    <xf numFmtId="0" fontId="65" fillId="55" borderId="51" xfId="0" applyFont="1" applyFill="1" applyBorder="1" applyAlignment="1">
      <alignment horizontal="center" vertical="center" textRotation="90" wrapText="1"/>
    </xf>
    <xf numFmtId="0" fontId="66" fillId="42" borderId="57" xfId="0" applyFont="1" applyFill="1" applyBorder="1" applyAlignment="1">
      <alignment horizontal="left" vertical="center" wrapText="1"/>
    </xf>
    <xf numFmtId="0" fontId="65" fillId="3" borderId="21" xfId="0" applyFont="1" applyFill="1" applyBorder="1" applyAlignment="1">
      <alignment horizontal="center" vertical="center" wrapText="1"/>
    </xf>
    <xf numFmtId="0" fontId="66" fillId="3" borderId="2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170" fontId="4" fillId="35" borderId="12" xfId="46" applyNumberFormat="1" applyFont="1" applyFill="1" applyBorder="1" applyAlignment="1">
      <alignment horizontal="center" vertical="center" wrapText="1"/>
    </xf>
    <xf numFmtId="170" fontId="4" fillId="35" borderId="24" xfId="46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170" fontId="0" fillId="0" borderId="0" xfId="46" applyNumberFormat="1" applyFont="1" applyBorder="1" applyAlignment="1">
      <alignment horizontal="center" wrapText="1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39" borderId="72" xfId="0" applyFill="1" applyBorder="1" applyAlignment="1">
      <alignment horizontal="center" vertical="center"/>
    </xf>
    <xf numFmtId="0" fontId="0" fillId="39" borderId="73" xfId="0" applyFill="1" applyBorder="1" applyAlignment="1">
      <alignment horizontal="center" vertical="center"/>
    </xf>
    <xf numFmtId="0" fontId="0" fillId="39" borderId="74" xfId="0" applyFill="1" applyBorder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65" fillId="3" borderId="80" xfId="0" applyFont="1" applyFill="1" applyBorder="1" applyAlignment="1">
      <alignment horizontal="left" vertical="center" wrapText="1"/>
    </xf>
    <xf numFmtId="0" fontId="65" fillId="3" borderId="90" xfId="0" applyFont="1" applyFill="1" applyBorder="1" applyAlignment="1">
      <alignment horizontal="left" vertical="center" wrapText="1"/>
    </xf>
    <xf numFmtId="0" fontId="0" fillId="48" borderId="13" xfId="0" applyFill="1" applyBorder="1" applyAlignment="1">
      <alignment horizontal="center"/>
    </xf>
    <xf numFmtId="0" fontId="0" fillId="52" borderId="13" xfId="0" applyFill="1" applyBorder="1" applyAlignment="1">
      <alignment horizontal="center" vertical="center" wrapText="1"/>
    </xf>
    <xf numFmtId="0" fontId="0" fillId="56" borderId="13" xfId="0" applyFill="1" applyBorder="1" applyAlignment="1">
      <alignment horizontal="center" vertical="center" wrapText="1"/>
    </xf>
    <xf numFmtId="0" fontId="0" fillId="44" borderId="13" xfId="0" applyFill="1" applyBorder="1" applyAlignment="1">
      <alignment horizontal="center" vertical="center" wrapText="1"/>
    </xf>
    <xf numFmtId="0" fontId="0" fillId="53" borderId="13" xfId="0" applyFill="1" applyBorder="1" applyAlignment="1">
      <alignment horizontal="center" vertical="center" wrapText="1"/>
    </xf>
    <xf numFmtId="9" fontId="0" fillId="0" borderId="14" xfId="53" applyFont="1" applyBorder="1" applyAlignment="1">
      <alignment horizontal="center" vertical="center"/>
    </xf>
    <xf numFmtId="0" fontId="0" fillId="48" borderId="15" xfId="0" applyFill="1" applyBorder="1" applyAlignment="1">
      <alignment horizontal="center" vertical="center" textRotation="90" wrapText="1"/>
    </xf>
    <xf numFmtId="0" fontId="0" fillId="48" borderId="16" xfId="0" applyFill="1" applyBorder="1" applyAlignment="1">
      <alignment horizontal="center" vertical="center" textRotation="90" wrapText="1"/>
    </xf>
    <xf numFmtId="0" fontId="0" fillId="56" borderId="17" xfId="0" applyFill="1" applyBorder="1" applyAlignment="1">
      <alignment horizontal="center" vertical="center" wrapText="1"/>
    </xf>
    <xf numFmtId="0" fontId="0" fillId="53" borderId="17" xfId="0" applyFill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textRotation="90" wrapText="1"/>
    </xf>
    <xf numFmtId="0" fontId="65" fillId="0" borderId="16" xfId="0" applyFont="1" applyFill="1" applyBorder="1" applyAlignment="1">
      <alignment horizontal="center" vertical="center" textRotation="90" wrapText="1"/>
    </xf>
    <xf numFmtId="0" fontId="65" fillId="0" borderId="13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47625</xdr:rowOff>
    </xdr:from>
    <xdr:to>
      <xdr:col>1</xdr:col>
      <xdr:colOff>295275</xdr:colOff>
      <xdr:row>4</xdr:row>
      <xdr:rowOff>76200</xdr:rowOff>
    </xdr:to>
    <xdr:pic>
      <xdr:nvPicPr>
        <xdr:cNvPr id="1" name="1 Imagen" descr="Escudo In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7625"/>
          <a:ext cx="638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ola\Datos%20de%20programa\Microsoft\Excel\PDM%20INZA%20FINAL\PRESUPUESTO%20DE%20GASTOS%202012%20PARA%20C.T.P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Presupuesto "/>
      <sheetName val="Hoja1"/>
    </sheetNames>
    <sheetDataSet>
      <sheetData sheetId="1">
        <row r="8">
          <cell r="C8">
            <v>1103920876</v>
          </cell>
          <cell r="E8">
            <v>1292820292.6357505</v>
          </cell>
          <cell r="F8">
            <v>1389332656.8429666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2" sqref="A12"/>
    </sheetView>
  </sheetViews>
  <sheetFormatPr defaultColWidth="11.421875" defaultRowHeight="15.75" customHeight="1"/>
  <cols>
    <col min="1" max="1" width="37.8515625" style="0" customWidth="1"/>
    <col min="2" max="2" width="14.8515625" style="6" customWidth="1"/>
    <col min="3" max="3" width="14.8515625" style="413" customWidth="1"/>
    <col min="4" max="7" width="11.421875" style="77" customWidth="1"/>
  </cols>
  <sheetData>
    <row r="1" spans="1:4" ht="15.75" customHeight="1">
      <c r="A1" s="523" t="s">
        <v>695</v>
      </c>
      <c r="B1" s="523"/>
      <c r="C1" s="523"/>
      <c r="D1" s="523"/>
    </row>
    <row r="2" spans="1:4" ht="34.5" customHeight="1">
      <c r="A2" s="297"/>
      <c r="B2" s="416" t="s">
        <v>531</v>
      </c>
      <c r="C2" s="416" t="s">
        <v>699</v>
      </c>
      <c r="D2" s="297"/>
    </row>
    <row r="3" spans="1:4" ht="15.75" customHeight="1">
      <c r="A3" t="s">
        <v>554</v>
      </c>
      <c r="B3" s="6">
        <f>+B4+B12+B22+B24+B26</f>
        <v>1681313458</v>
      </c>
      <c r="C3" s="6">
        <f>+C4+C12+C22+C24+C26</f>
        <v>1066744548.69</v>
      </c>
      <c r="D3" s="414">
        <f>+C3/B3</f>
        <v>0.6344709510378522</v>
      </c>
    </row>
    <row r="4" spans="1:4" ht="57.75" customHeight="1">
      <c r="A4" s="415" t="s">
        <v>696</v>
      </c>
      <c r="B4" s="6">
        <v>190000000</v>
      </c>
      <c r="C4" s="413">
        <v>30000000</v>
      </c>
      <c r="D4" s="414">
        <f>+C4/B4</f>
        <v>0.15789473684210525</v>
      </c>
    </row>
    <row r="5" spans="1:4" ht="15.75" customHeight="1">
      <c r="A5" t="s">
        <v>700</v>
      </c>
      <c r="D5" s="414"/>
    </row>
    <row r="6" spans="1:4" ht="15.75" customHeight="1">
      <c r="A6" t="s">
        <v>697</v>
      </c>
      <c r="D6" s="414"/>
    </row>
    <row r="7" spans="1:4" ht="15.75" customHeight="1">
      <c r="A7" t="s">
        <v>697</v>
      </c>
      <c r="D7" s="414"/>
    </row>
    <row r="8" spans="1:4" ht="15.75" customHeight="1">
      <c r="A8" t="s">
        <v>697</v>
      </c>
      <c r="D8" s="414"/>
    </row>
    <row r="9" spans="1:4" ht="15.75" customHeight="1">
      <c r="A9" t="s">
        <v>697</v>
      </c>
      <c r="D9" s="414"/>
    </row>
    <row r="10" spans="1:4" ht="15.75" customHeight="1">
      <c r="A10" t="s">
        <v>697</v>
      </c>
      <c r="D10" s="414"/>
    </row>
    <row r="11" spans="1:4" ht="15.75" customHeight="1">
      <c r="A11" t="s">
        <v>697</v>
      </c>
      <c r="D11" s="414"/>
    </row>
    <row r="12" spans="1:4" ht="33.75" customHeight="1">
      <c r="A12" s="415" t="s">
        <v>698</v>
      </c>
      <c r="B12" s="6">
        <v>460700000</v>
      </c>
      <c r="C12" s="413">
        <v>322814254.69</v>
      </c>
      <c r="D12" s="414">
        <f>+C12/B12</f>
        <v>0.7007038304536575</v>
      </c>
    </row>
    <row r="13" spans="1:4" ht="15.75" customHeight="1">
      <c r="A13" t="s">
        <v>697</v>
      </c>
      <c r="D13" s="414"/>
    </row>
    <row r="14" ht="15.75" customHeight="1">
      <c r="D14" s="414"/>
    </row>
    <row r="15" ht="15.75" customHeight="1">
      <c r="D15" s="414"/>
    </row>
    <row r="16" ht="15.75" customHeight="1">
      <c r="D16" s="414"/>
    </row>
    <row r="17" ht="15.75" customHeight="1">
      <c r="D17" s="414"/>
    </row>
    <row r="18" ht="15.75" customHeight="1">
      <c r="D18" s="414"/>
    </row>
    <row r="19" ht="15.75" customHeight="1">
      <c r="D19" s="414"/>
    </row>
    <row r="20" ht="15.75" customHeight="1">
      <c r="D20" s="414"/>
    </row>
    <row r="21" ht="15.75" customHeight="1">
      <c r="D21" s="414"/>
    </row>
    <row r="22" spans="1:4" ht="34.5" customHeight="1">
      <c r="A22" s="415" t="s">
        <v>555</v>
      </c>
      <c r="B22" s="6">
        <v>306800000</v>
      </c>
      <c r="C22" s="413">
        <v>110300000</v>
      </c>
      <c r="D22" s="414">
        <f>+C22/B22</f>
        <v>0.35951760104302477</v>
      </c>
    </row>
    <row r="23" ht="15.75" customHeight="1">
      <c r="D23" s="414"/>
    </row>
    <row r="24" spans="1:4" ht="15.75" customHeight="1">
      <c r="A24" t="s">
        <v>545</v>
      </c>
      <c r="B24" s="6">
        <v>673813458</v>
      </c>
      <c r="C24" s="413">
        <v>603630294</v>
      </c>
      <c r="D24" s="414">
        <f>+C24/B24</f>
        <v>0.8958418488578185</v>
      </c>
    </row>
    <row r="25" ht="15.75" customHeight="1">
      <c r="D25" s="414"/>
    </row>
    <row r="26" spans="1:4" ht="15.75" customHeight="1">
      <c r="A26" t="s">
        <v>537</v>
      </c>
      <c r="B26" s="6">
        <v>50000000</v>
      </c>
      <c r="C26" s="413">
        <v>0</v>
      </c>
      <c r="D26" s="414">
        <f>+C26/B26</f>
        <v>0</v>
      </c>
    </row>
    <row r="27" ht="15.75" customHeight="1">
      <c r="D27" s="414"/>
    </row>
  </sheetData>
  <sheetProtection/>
  <mergeCells count="1">
    <mergeCell ref="A1:D1"/>
  </mergeCells>
  <printOptions/>
  <pageMargins left="0.5905511811023623" right="0.3937007874015748" top="0.7874015748031497" bottom="0.3937007874015748" header="0.31496062992125984" footer="0.31496062992125984"/>
  <pageSetup horizontalDpi="300" verticalDpi="3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13" sqref="B13:B14"/>
    </sheetView>
  </sheetViews>
  <sheetFormatPr defaultColWidth="11.421875" defaultRowHeight="15"/>
  <cols>
    <col min="1" max="1" width="7.28125" style="0" customWidth="1"/>
    <col min="2" max="2" width="21.140625" style="0" customWidth="1"/>
    <col min="3" max="3" width="25.140625" style="0" customWidth="1"/>
    <col min="4" max="4" width="13.57421875" style="0" customWidth="1"/>
    <col min="5" max="5" width="14.421875" style="0" customWidth="1"/>
    <col min="6" max="6" width="13.28125" style="0" customWidth="1"/>
    <col min="7" max="7" width="12.7109375" style="0" bestFit="1" customWidth="1"/>
  </cols>
  <sheetData>
    <row r="1" spans="1:7" ht="15.75">
      <c r="A1" s="647" t="s">
        <v>1</v>
      </c>
      <c r="B1" s="647"/>
      <c r="C1" s="647"/>
      <c r="D1" s="647"/>
      <c r="E1" s="647"/>
      <c r="F1" s="647"/>
      <c r="G1" s="647"/>
    </row>
    <row r="2" spans="1:7" ht="15.75">
      <c r="A2" s="647" t="s">
        <v>723</v>
      </c>
      <c r="B2" s="647"/>
      <c r="C2" s="647"/>
      <c r="D2" s="647"/>
      <c r="E2" s="647"/>
      <c r="F2" s="647"/>
      <c r="G2" s="647"/>
    </row>
    <row r="3" spans="1:7" ht="30.75" customHeight="1">
      <c r="A3" s="648" t="s">
        <v>724</v>
      </c>
      <c r="B3" s="648"/>
      <c r="C3" s="648"/>
      <c r="D3" s="648"/>
      <c r="E3" s="648"/>
      <c r="F3" s="648"/>
      <c r="G3" s="648"/>
    </row>
    <row r="4" spans="1:7" ht="30.75" customHeight="1" thickBot="1">
      <c r="A4" s="649" t="s">
        <v>721</v>
      </c>
      <c r="B4" s="649"/>
      <c r="C4" s="649"/>
      <c r="D4" s="649"/>
      <c r="E4" s="649"/>
      <c r="F4" s="649"/>
      <c r="G4" s="649"/>
    </row>
    <row r="5" spans="1:7" ht="43.5" customHeight="1" thickTop="1">
      <c r="A5" s="672"/>
      <c r="B5" s="673"/>
      <c r="C5" s="673"/>
      <c r="D5" s="448" t="s">
        <v>725</v>
      </c>
      <c r="E5" s="448" t="s">
        <v>727</v>
      </c>
      <c r="F5" s="448" t="s">
        <v>726</v>
      </c>
      <c r="G5" s="449" t="s">
        <v>736</v>
      </c>
    </row>
    <row r="6" spans="1:7" ht="38.25" customHeight="1">
      <c r="A6" s="674" t="s">
        <v>519</v>
      </c>
      <c r="B6" s="676" t="s">
        <v>535</v>
      </c>
      <c r="C6" s="474" t="s">
        <v>553</v>
      </c>
      <c r="D6" s="118">
        <v>9920736141.2</v>
      </c>
      <c r="E6" s="475">
        <v>10818859690.51</v>
      </c>
      <c r="F6" s="476">
        <f>+F7+F8+F9+F14+F16+F17+F18</f>
        <v>70000000</v>
      </c>
      <c r="G6" s="477">
        <f>+E6/D6</f>
        <v>1.0905299300905873</v>
      </c>
    </row>
    <row r="7" spans="1:7" ht="38.25">
      <c r="A7" s="674"/>
      <c r="B7" s="676"/>
      <c r="C7" s="309" t="s">
        <v>538</v>
      </c>
      <c r="D7" s="323">
        <v>225627354</v>
      </c>
      <c r="E7" s="323">
        <v>178317775.47</v>
      </c>
      <c r="F7" s="476"/>
      <c r="G7" s="477">
        <f>(+F8+E7)/D7</f>
        <v>1.1005659157355538</v>
      </c>
    </row>
    <row r="8" spans="1:7" ht="15">
      <c r="A8" s="674"/>
      <c r="B8" s="676"/>
      <c r="C8" s="309" t="s">
        <v>741</v>
      </c>
      <c r="D8" s="323"/>
      <c r="E8" s="323"/>
      <c r="F8" s="476">
        <v>70000000</v>
      </c>
      <c r="G8" s="477"/>
    </row>
    <row r="9" spans="1:12" ht="38.25">
      <c r="A9" s="674"/>
      <c r="B9" s="676"/>
      <c r="C9" s="312" t="s">
        <v>539</v>
      </c>
      <c r="D9" s="478">
        <v>9145108787.2</v>
      </c>
      <c r="E9" s="478">
        <f>4368597921+29665056+29266666+4475738801+60000000+754911093+452124157</f>
        <v>10170303694</v>
      </c>
      <c r="F9" s="476"/>
      <c r="G9" s="477">
        <f>+E9/D9</f>
        <v>1.1121030849009603</v>
      </c>
      <c r="L9" s="13"/>
    </row>
    <row r="10" spans="1:7" ht="25.5">
      <c r="A10" s="674"/>
      <c r="B10" s="676"/>
      <c r="C10" s="312" t="s">
        <v>744</v>
      </c>
      <c r="D10" s="478"/>
      <c r="E10" s="478">
        <v>468656077</v>
      </c>
      <c r="F10" s="476"/>
      <c r="G10" s="477"/>
    </row>
    <row r="11" spans="1:7" ht="15">
      <c r="A11" s="674"/>
      <c r="B11" s="676"/>
      <c r="C11" s="312" t="s">
        <v>742</v>
      </c>
      <c r="D11" s="478"/>
      <c r="E11" s="478">
        <f>107206926+8026470</f>
        <v>115233396</v>
      </c>
      <c r="F11" s="476"/>
      <c r="G11" s="477"/>
    </row>
    <row r="12" spans="1:7" ht="15">
      <c r="A12" s="674"/>
      <c r="B12" s="676"/>
      <c r="C12" s="312" t="s">
        <v>743</v>
      </c>
      <c r="D12" s="478"/>
      <c r="E12" s="478">
        <v>20845300</v>
      </c>
      <c r="F12" s="476"/>
      <c r="G12" s="477"/>
    </row>
    <row r="13" spans="1:7" ht="15">
      <c r="A13" s="674"/>
      <c r="B13" s="676" t="s">
        <v>653</v>
      </c>
      <c r="C13" s="106"/>
      <c r="D13" s="479"/>
      <c r="E13" s="479"/>
      <c r="F13" s="476"/>
      <c r="G13" s="477" t="e">
        <f>+F13/E13</f>
        <v>#DIV/0!</v>
      </c>
    </row>
    <row r="14" spans="1:7" ht="51">
      <c r="A14" s="674"/>
      <c r="B14" s="676"/>
      <c r="C14" s="315" t="s">
        <v>552</v>
      </c>
      <c r="D14" s="480">
        <v>150000000</v>
      </c>
      <c r="E14" s="480">
        <v>0</v>
      </c>
      <c r="F14" s="476"/>
      <c r="G14" s="477">
        <f>+E14/D14</f>
        <v>0</v>
      </c>
    </row>
    <row r="15" spans="1:7" ht="15">
      <c r="A15" s="674"/>
      <c r="B15" s="677" t="s">
        <v>654</v>
      </c>
      <c r="C15" s="312"/>
      <c r="D15" s="478"/>
      <c r="E15" s="478">
        <v>0</v>
      </c>
      <c r="F15" s="476"/>
      <c r="G15" s="477"/>
    </row>
    <row r="16" spans="1:7" ht="15">
      <c r="A16" s="674"/>
      <c r="B16" s="677"/>
      <c r="C16" s="315" t="s">
        <v>540</v>
      </c>
      <c r="D16" s="481">
        <v>100000000</v>
      </c>
      <c r="E16" s="481">
        <v>0</v>
      </c>
      <c r="F16" s="476"/>
      <c r="G16" s="477">
        <f>+E16/D16</f>
        <v>0</v>
      </c>
    </row>
    <row r="17" spans="1:7" ht="15">
      <c r="A17" s="674"/>
      <c r="B17" s="677"/>
      <c r="C17" s="312" t="s">
        <v>541</v>
      </c>
      <c r="D17" s="482">
        <v>150000000</v>
      </c>
      <c r="E17" s="482">
        <v>0</v>
      </c>
      <c r="F17" s="476"/>
      <c r="G17" s="477">
        <f>+E17/D17</f>
        <v>0</v>
      </c>
    </row>
    <row r="18" spans="1:7" ht="39" thickBot="1">
      <c r="A18" s="675"/>
      <c r="B18" s="678"/>
      <c r="C18" s="483" t="s">
        <v>542</v>
      </c>
      <c r="D18" s="484">
        <v>150000000</v>
      </c>
      <c r="E18" s="484">
        <v>0</v>
      </c>
      <c r="F18" s="485"/>
      <c r="G18" s="486">
        <f>+E18/D18</f>
        <v>0</v>
      </c>
    </row>
    <row r="19" ht="15.75" thickTop="1"/>
    <row r="20" ht="15">
      <c r="A20" t="s">
        <v>749</v>
      </c>
    </row>
    <row r="21" ht="15">
      <c r="C21" s="13"/>
    </row>
  </sheetData>
  <sheetProtection/>
  <mergeCells count="9">
    <mergeCell ref="A5:C5"/>
    <mergeCell ref="A6:A18"/>
    <mergeCell ref="B13:B14"/>
    <mergeCell ref="B15:B18"/>
    <mergeCell ref="A1:G1"/>
    <mergeCell ref="A2:G2"/>
    <mergeCell ref="A3:G3"/>
    <mergeCell ref="A4:G4"/>
    <mergeCell ref="B6:B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54">
      <selection activeCell="G52" sqref="G52"/>
    </sheetView>
  </sheetViews>
  <sheetFormatPr defaultColWidth="11.421875" defaultRowHeight="15"/>
  <cols>
    <col min="1" max="1" width="31.28125" style="0" customWidth="1"/>
    <col min="2" max="2" width="15.140625" style="0" customWidth="1"/>
    <col min="3" max="3" width="15.140625" style="6" customWidth="1"/>
    <col min="4" max="4" width="22.8515625" style="6" customWidth="1"/>
    <col min="5" max="6" width="15.140625" style="6" customWidth="1"/>
    <col min="7" max="7" width="13.7109375" style="0" bestFit="1" customWidth="1"/>
    <col min="8" max="8" width="12.57421875" style="0" bestFit="1" customWidth="1"/>
    <col min="9" max="9" width="16.7109375" style="0" customWidth="1"/>
    <col min="10" max="10" width="14.140625" style="0" bestFit="1" customWidth="1"/>
  </cols>
  <sheetData>
    <row r="1" spans="1:6" ht="15">
      <c r="A1" s="526" t="s">
        <v>0</v>
      </c>
      <c r="B1" s="526"/>
      <c r="C1" s="526"/>
      <c r="D1" s="526"/>
      <c r="E1" s="526"/>
      <c r="F1" s="526"/>
    </row>
    <row r="2" spans="1:6" ht="15">
      <c r="A2" s="526" t="s">
        <v>550</v>
      </c>
      <c r="B2" s="526"/>
      <c r="C2" s="526"/>
      <c r="D2" s="526"/>
      <c r="E2" s="526"/>
      <c r="F2" s="526"/>
    </row>
    <row r="3" spans="1:6" ht="15">
      <c r="A3" s="527" t="s">
        <v>1</v>
      </c>
      <c r="B3" s="527"/>
      <c r="C3" s="527"/>
      <c r="D3" s="527"/>
      <c r="E3" s="527"/>
      <c r="F3" s="527"/>
    </row>
    <row r="4" spans="1:6" ht="15">
      <c r="A4" s="528" t="s">
        <v>2</v>
      </c>
      <c r="B4" s="528"/>
      <c r="C4" s="528"/>
      <c r="D4" s="528"/>
      <c r="E4" s="528"/>
      <c r="F4" s="528"/>
    </row>
    <row r="5" spans="1:6" ht="15.75" thickBot="1">
      <c r="A5" s="527" t="s">
        <v>3</v>
      </c>
      <c r="B5" s="527"/>
      <c r="C5" s="527"/>
      <c r="D5" s="527"/>
      <c r="E5" s="527"/>
      <c r="F5" s="527"/>
    </row>
    <row r="6" spans="1:6" ht="15.75" thickTop="1">
      <c r="A6" s="234" t="s">
        <v>4</v>
      </c>
      <c r="B6" s="279">
        <v>2012</v>
      </c>
      <c r="C6" s="280">
        <v>2013</v>
      </c>
      <c r="D6" s="280">
        <v>2014</v>
      </c>
      <c r="E6" s="280">
        <v>2015</v>
      </c>
      <c r="F6" s="281" t="s">
        <v>51</v>
      </c>
    </row>
    <row r="7" spans="1:6" ht="49.5" customHeight="1">
      <c r="A7" s="235" t="s">
        <v>6</v>
      </c>
      <c r="B7" s="236">
        <f>+B8+B9+B10+B13</f>
        <v>1922986666</v>
      </c>
      <c r="C7" s="236">
        <f>+C8+C9+C10+C13</f>
        <v>1358889099.0103202</v>
      </c>
      <c r="D7" s="236">
        <f>+D8+D9+D10+D13</f>
        <v>1466947960.1636207</v>
      </c>
      <c r="E7" s="236">
        <f>+E8+E9+E10+E13</f>
        <v>1576264922.1550136</v>
      </c>
      <c r="F7" s="237">
        <f>+F8+F9+F10+F13</f>
        <v>6325088647.328954</v>
      </c>
    </row>
    <row r="8" spans="1:9" ht="24.75">
      <c r="A8" s="238" t="s">
        <v>7</v>
      </c>
      <c r="B8" s="239">
        <v>673046000</v>
      </c>
      <c r="C8" s="240">
        <f>+B8*108.452%</f>
        <v>729931847.92</v>
      </c>
      <c r="D8" s="241">
        <f>+C8*107.952%</f>
        <v>787976028.4665984</v>
      </c>
      <c r="E8" s="242">
        <f>+D8*107.452%</f>
        <v>846696002.1079292</v>
      </c>
      <c r="F8" s="243">
        <f>SUM(B8:E8)</f>
        <v>3037649878.494528</v>
      </c>
      <c r="I8" s="12"/>
    </row>
    <row r="9" spans="1:9" ht="15.75" customHeight="1">
      <c r="A9" s="244" t="s">
        <v>8</v>
      </c>
      <c r="B9" s="240">
        <v>550674000</v>
      </c>
      <c r="C9" s="240">
        <f>+B9*108.452%</f>
        <v>597216966.48</v>
      </c>
      <c r="D9" s="241">
        <f>+C9*107.952%</f>
        <v>644707659.6544896</v>
      </c>
      <c r="E9" s="242">
        <f>+D9*107.452%</f>
        <v>692751274.4519422</v>
      </c>
      <c r="F9" s="243">
        <f>SUM(B9:E9)</f>
        <v>2485349900.5864315</v>
      </c>
      <c r="I9" s="12"/>
    </row>
    <row r="10" spans="1:8" ht="15">
      <c r="A10" s="244" t="s">
        <v>9</v>
      </c>
      <c r="B10" s="245">
        <f>+B11+B12</f>
        <v>199266666</v>
      </c>
      <c r="C10" s="245">
        <f>+C11+C12</f>
        <v>31740284.610319998</v>
      </c>
      <c r="D10" s="245">
        <f>+D11+D12</f>
        <v>34264272.042532645</v>
      </c>
      <c r="E10" s="245">
        <f>+E11+E12</f>
        <v>36817645.59514218</v>
      </c>
      <c r="F10" s="243">
        <f>SUM(B10:E10)</f>
        <v>302088868.24799484</v>
      </c>
      <c r="H10" s="12"/>
    </row>
    <row r="11" spans="1:6" ht="15">
      <c r="A11" s="244" t="s">
        <v>80</v>
      </c>
      <c r="B11" s="245">
        <v>170000000</v>
      </c>
      <c r="C11" s="240"/>
      <c r="D11" s="241"/>
      <c r="E11" s="242"/>
      <c r="F11" s="243">
        <f>SUM(B11:E11)</f>
        <v>170000000</v>
      </c>
    </row>
    <row r="12" spans="1:9" ht="15">
      <c r="A12" s="244" t="s">
        <v>81</v>
      </c>
      <c r="B12" s="245">
        <v>29266666</v>
      </c>
      <c r="C12" s="240">
        <f>+B12*108.452%</f>
        <v>31740284.610319998</v>
      </c>
      <c r="D12" s="241">
        <f>+C12*107.952%</f>
        <v>34264272.042532645</v>
      </c>
      <c r="E12" s="242">
        <f>+D12*107.452%</f>
        <v>36817645.59514218</v>
      </c>
      <c r="F12" s="243">
        <f>SUM(B12:E12)</f>
        <v>132088868.24799484</v>
      </c>
      <c r="I12" s="14">
        <f>+B12+B21+B31+B33+B34</f>
        <v>8963861587.199999</v>
      </c>
    </row>
    <row r="13" spans="1:6" ht="15">
      <c r="A13" s="244" t="s">
        <v>10</v>
      </c>
      <c r="B13" s="240">
        <v>500000000</v>
      </c>
      <c r="C13" s="240"/>
      <c r="D13" s="246"/>
      <c r="E13" s="240"/>
      <c r="F13" s="243">
        <f>+B13+C13+D13+E13</f>
        <v>500000000</v>
      </c>
    </row>
    <row r="14" spans="1:9" ht="24.75">
      <c r="A14" s="235" t="s">
        <v>11</v>
      </c>
      <c r="B14" s="247">
        <f>+B15+B19+B23+B24+B25+B26</f>
        <v>8331390822</v>
      </c>
      <c r="C14" s="247">
        <f>+C15+C19+C23+C24+C25+C26</f>
        <v>9035559974.27544</v>
      </c>
      <c r="D14" s="247">
        <f>+D15+D19+D23+D24+D25+D26</f>
        <v>9754067703.429825</v>
      </c>
      <c r="E14" s="247">
        <f>+E15+E19+E23+E24+E25+E26</f>
        <v>10480940828.689413</v>
      </c>
      <c r="F14" s="248">
        <f>+F15+F19+F23+F24+F25+F26</f>
        <v>37601959328.39468</v>
      </c>
      <c r="I14" s="12"/>
    </row>
    <row r="15" spans="1:9" ht="15">
      <c r="A15" s="249" t="s">
        <v>12</v>
      </c>
      <c r="B15" s="250">
        <f>+B16+B17+B18</f>
        <v>1090313458</v>
      </c>
      <c r="C15" s="250">
        <f>+C16+C17+C18</f>
        <v>1182466751.47016</v>
      </c>
      <c r="D15" s="250">
        <f>+D16+D17+D18</f>
        <v>1276496507.5470672</v>
      </c>
      <c r="E15" s="250">
        <f>+E16+E17+E18</f>
        <v>1371621027.2894745</v>
      </c>
      <c r="F15" s="251">
        <f>SUM(F16:F18)</f>
        <v>4920897744.306702</v>
      </c>
      <c r="I15" s="14"/>
    </row>
    <row r="16" spans="1:9" ht="15">
      <c r="A16" s="244" t="s">
        <v>13</v>
      </c>
      <c r="B16" s="245">
        <v>168813458</v>
      </c>
      <c r="C16" s="240">
        <f>+B16*108.452%</f>
        <v>183081571.47015998</v>
      </c>
      <c r="D16" s="241">
        <f>+C16*107.952%</f>
        <v>197640218.0334671</v>
      </c>
      <c r="E16" s="240">
        <f>+D16*107.452%</f>
        <v>212368367.08132106</v>
      </c>
      <c r="F16" s="243">
        <f>+B16+C16+D16+E16</f>
        <v>761903614.5849481</v>
      </c>
      <c r="I16" s="14"/>
    </row>
    <row r="17" spans="1:9" ht="15">
      <c r="A17" s="244" t="s">
        <v>14</v>
      </c>
      <c r="B17" s="245">
        <f>730000000</f>
        <v>730000000</v>
      </c>
      <c r="C17" s="240">
        <f>+B17*108.452%</f>
        <v>791699600</v>
      </c>
      <c r="D17" s="241">
        <f>+C17*107.952%</f>
        <v>854655552.192</v>
      </c>
      <c r="E17" s="240">
        <f>+D17*107.452%</f>
        <v>918344483.9413478</v>
      </c>
      <c r="F17" s="243">
        <f>+B17+C17+D17+E17</f>
        <v>3294699636.1333475</v>
      </c>
      <c r="I17" s="14"/>
    </row>
    <row r="18" spans="1:9" ht="15">
      <c r="A18" s="244" t="s">
        <v>44</v>
      </c>
      <c r="B18" s="245">
        <v>191500000</v>
      </c>
      <c r="C18" s="240">
        <f>+B18*108.452%</f>
        <v>207685580</v>
      </c>
      <c r="D18" s="241">
        <f>+C18*107.952%</f>
        <v>224200737.32160002</v>
      </c>
      <c r="E18" s="240">
        <f>+D18*107.452%</f>
        <v>240908176.26680565</v>
      </c>
      <c r="F18" s="243">
        <f>+B18+C18+D18+E18</f>
        <v>864294493.5884056</v>
      </c>
      <c r="I18" s="14"/>
    </row>
    <row r="19" spans="1:9" ht="15">
      <c r="A19" s="249" t="s">
        <v>15</v>
      </c>
      <c r="B19" s="252">
        <f>+B20+B21+B22</f>
        <v>4519225275</v>
      </c>
      <c r="C19" s="252">
        <f>+C20+C21+C22</f>
        <v>4901190195.243</v>
      </c>
      <c r="D19" s="252">
        <f>+D20+D21+D22</f>
        <v>5290932839.568724</v>
      </c>
      <c r="E19" s="252">
        <f>+E20+E21+E22</f>
        <v>5685213154.773385</v>
      </c>
      <c r="F19" s="253">
        <f>+F20+F21</f>
        <v>20396561464.58511</v>
      </c>
      <c r="I19" s="12"/>
    </row>
    <row r="20" spans="1:6" ht="15">
      <c r="A20" s="244" t="s">
        <v>16</v>
      </c>
      <c r="B20" s="254">
        <v>150627354</v>
      </c>
      <c r="C20" s="240">
        <f>+B20*108.452%</f>
        <v>163358377.96008</v>
      </c>
      <c r="D20" s="240">
        <f>+C20*107.952%</f>
        <v>176348636.17546555</v>
      </c>
      <c r="E20" s="240">
        <f>+D20*107.452%</f>
        <v>189490136.54326123</v>
      </c>
      <c r="F20" s="243">
        <f>+B20+C20+D20+E20</f>
        <v>679824504.6788068</v>
      </c>
    </row>
    <row r="21" spans="1:6" ht="24.75">
      <c r="A21" s="244" t="s">
        <v>17</v>
      </c>
      <c r="B21" s="254">
        <v>4368597921</v>
      </c>
      <c r="C21" s="240">
        <f>+B21*108.452%</f>
        <v>4737831817.28292</v>
      </c>
      <c r="D21" s="240">
        <f>+C21*107.952%</f>
        <v>5114584203.393258</v>
      </c>
      <c r="E21" s="240">
        <f>+D21*107.452%</f>
        <v>5495723018.2301235</v>
      </c>
      <c r="F21" s="243">
        <f>+B21+C21+D21+E21</f>
        <v>19716736959.906303</v>
      </c>
    </row>
    <row r="22" spans="1:6" ht="17.25" customHeight="1">
      <c r="A22" s="244" t="s">
        <v>18</v>
      </c>
      <c r="B22" s="255"/>
      <c r="C22" s="240"/>
      <c r="D22" s="240">
        <f>+C22*108.952%</f>
        <v>0</v>
      </c>
      <c r="E22" s="240">
        <f>+D22*108.452%</f>
        <v>0</v>
      </c>
      <c r="F22" s="243">
        <f>+B22+C22+D22+E22</f>
        <v>0</v>
      </c>
    </row>
    <row r="23" spans="1:6" ht="24.75">
      <c r="A23" s="249" t="s">
        <v>19</v>
      </c>
      <c r="B23" s="256">
        <v>807195268</v>
      </c>
      <c r="C23" s="257">
        <f>+B23*108.452%</f>
        <v>875419412.0513599</v>
      </c>
      <c r="D23" s="257">
        <f>+C23*107.952%</f>
        <v>945032763.697684</v>
      </c>
      <c r="E23" s="257">
        <f>+D23*107.452%</f>
        <v>1015456605.2484354</v>
      </c>
      <c r="F23" s="258">
        <f aca="true" t="shared" si="0" ref="F23:F28">+B23+C23+D23+E23</f>
        <v>3643104048.9974794</v>
      </c>
    </row>
    <row r="24" spans="1:6" ht="15">
      <c r="A24" s="249" t="s">
        <v>20</v>
      </c>
      <c r="B24" s="256">
        <v>87582770</v>
      </c>
      <c r="C24" s="257">
        <f>+B24*108.452%</f>
        <v>94985265.72039999</v>
      </c>
      <c r="D24" s="257">
        <f>+C24*107.952%</f>
        <v>102538494.0504862</v>
      </c>
      <c r="E24" s="257">
        <f>+D24*107.452%</f>
        <v>110179662.62712844</v>
      </c>
      <c r="F24" s="258">
        <f t="shared" si="0"/>
        <v>395286192.3980146</v>
      </c>
    </row>
    <row r="25" spans="1:6" ht="15">
      <c r="A25" s="249" t="s">
        <v>21</v>
      </c>
      <c r="B25" s="256">
        <v>65687072</v>
      </c>
      <c r="C25" s="257">
        <f>+B25*108.452%</f>
        <v>71238943.32543999</v>
      </c>
      <c r="D25" s="257">
        <f>+C25*107.952%</f>
        <v>76903864.09867898</v>
      </c>
      <c r="E25" s="257">
        <f>+D25*107.452%</f>
        <v>82634740.05131252</v>
      </c>
      <c r="F25" s="258">
        <f t="shared" si="0"/>
        <v>296464619.4754315</v>
      </c>
    </row>
    <row r="26" spans="1:6" ht="15">
      <c r="A26" s="249" t="s">
        <v>22</v>
      </c>
      <c r="B26" s="256">
        <f>+B27+B28</f>
        <v>1761386979</v>
      </c>
      <c r="C26" s="256">
        <f>+C27+C28</f>
        <v>1910259406.4650798</v>
      </c>
      <c r="D26" s="256">
        <f>+D27+D28</f>
        <v>2062163234.467183</v>
      </c>
      <c r="E26" s="256">
        <f>+E27+E28</f>
        <v>2215835638.6996775</v>
      </c>
      <c r="F26" s="259">
        <f>+F27+F28</f>
        <v>7949645258.63194</v>
      </c>
    </row>
    <row r="27" spans="1:6" ht="15">
      <c r="A27" s="244" t="s">
        <v>23</v>
      </c>
      <c r="B27" s="260">
        <v>759296692</v>
      </c>
      <c r="C27" s="261">
        <f>+B27*108.452%</f>
        <v>823472448.4078399</v>
      </c>
      <c r="D27" s="261">
        <f>+C27*107.952%</f>
        <v>888954977.5052314</v>
      </c>
      <c r="E27" s="261">
        <f>+D27*107.452%</f>
        <v>955199902.4289211</v>
      </c>
      <c r="F27" s="243">
        <f t="shared" si="0"/>
        <v>3426924020.3419924</v>
      </c>
    </row>
    <row r="28" spans="1:6" ht="15">
      <c r="A28" s="244" t="s">
        <v>24</v>
      </c>
      <c r="B28" s="260">
        <v>1002090287</v>
      </c>
      <c r="C28" s="261">
        <f>+B28*108.452%</f>
        <v>1086786958.05724</v>
      </c>
      <c r="D28" s="261">
        <f>+C28*107.952%</f>
        <v>1173208256.9619517</v>
      </c>
      <c r="E28" s="261">
        <f>+D28*107.452%</f>
        <v>1260635736.2707562</v>
      </c>
      <c r="F28" s="243">
        <f t="shared" si="0"/>
        <v>4522721238.2899475</v>
      </c>
    </row>
    <row r="29" spans="1:6" ht="24.75">
      <c r="A29" s="235" t="s">
        <v>25</v>
      </c>
      <c r="B29" s="262">
        <f>SUM(B30:B34)</f>
        <v>4565997000.2</v>
      </c>
      <c r="C29" s="262">
        <f>SUM(C30:C34)</f>
        <v>4951915066.656904</v>
      </c>
      <c r="D29" s="262">
        <f>SUM(D30:D34)</f>
        <v>5345691352.757461</v>
      </c>
      <c r="E29" s="262">
        <f>SUM(E30:E34)</f>
        <v>5744052272.364946</v>
      </c>
      <c r="F29" s="248">
        <f>+F30+F31+F32+F33+F34</f>
        <v>20607655691.97931</v>
      </c>
    </row>
    <row r="30" spans="1:6" ht="11.25" customHeight="1">
      <c r="A30" s="238" t="s">
        <v>26</v>
      </c>
      <c r="B30" s="242">
        <v>0</v>
      </c>
      <c r="C30" s="240"/>
      <c r="D30" s="240"/>
      <c r="E30" s="240"/>
      <c r="F30" s="243">
        <f>SUM(B30:E30)</f>
        <v>0</v>
      </c>
    </row>
    <row r="31" spans="1:6" ht="15">
      <c r="A31" s="238" t="s">
        <v>27</v>
      </c>
      <c r="B31" s="245">
        <v>3465390174.8</v>
      </c>
      <c r="C31" s="240">
        <f>+B31*108.452%</f>
        <v>3758284952.374096</v>
      </c>
      <c r="D31" s="240">
        <f>+C31*107.952%</f>
        <v>4057143771.7868843</v>
      </c>
      <c r="E31" s="240">
        <f>+D31*107.452%</f>
        <v>4359482125.660442</v>
      </c>
      <c r="F31" s="243">
        <f>SUM(B31:E31)</f>
        <v>15640301024.621422</v>
      </c>
    </row>
    <row r="32" spans="1:6" ht="14.25" customHeight="1">
      <c r="A32" s="238" t="s">
        <v>28</v>
      </c>
      <c r="B32" s="242">
        <v>0</v>
      </c>
      <c r="C32" s="240">
        <f>+B32*108.452%</f>
        <v>0</v>
      </c>
      <c r="D32" s="240">
        <f>+C32*107.952%</f>
        <v>0</v>
      </c>
      <c r="E32" s="240">
        <f>+D32*107.452%</f>
        <v>0</v>
      </c>
      <c r="F32" s="243">
        <f>SUM(B32:E32)</f>
        <v>0</v>
      </c>
    </row>
    <row r="33" spans="1:6" ht="15">
      <c r="A33" s="238" t="s">
        <v>29</v>
      </c>
      <c r="B33" s="245">
        <v>764475228.6</v>
      </c>
      <c r="C33" s="240">
        <f>+B33*108.452%</f>
        <v>829088674.9212719</v>
      </c>
      <c r="D33" s="240">
        <f>+C33*107.952%</f>
        <v>895017806.3510115</v>
      </c>
      <c r="E33" s="240">
        <f>+D33*107.452%</f>
        <v>961714533.2802888</v>
      </c>
      <c r="F33" s="243">
        <f>SUM(B33:E33)</f>
        <v>3450296243.152572</v>
      </c>
    </row>
    <row r="34" spans="1:6" ht="24.75">
      <c r="A34" s="238" t="s">
        <v>45</v>
      </c>
      <c r="B34" s="254">
        <v>336131596.8</v>
      </c>
      <c r="C34" s="240">
        <f>+B34*108.452%</f>
        <v>364541439.36153597</v>
      </c>
      <c r="D34" s="240">
        <f>+C34*107.952%</f>
        <v>393529774.6195653</v>
      </c>
      <c r="E34" s="240">
        <f>+D34*107.452%</f>
        <v>422855613.42421526</v>
      </c>
      <c r="F34" s="243">
        <f>SUM(B34:E34)</f>
        <v>1517058424.2053165</v>
      </c>
    </row>
    <row r="35" spans="1:6" ht="15">
      <c r="A35" s="235" t="s">
        <v>30</v>
      </c>
      <c r="B35" s="262">
        <f>SUM(B36:B38)</f>
        <v>134000000</v>
      </c>
      <c r="C35" s="262">
        <f>SUM(C36:C38)</f>
        <v>145325679.99999997</v>
      </c>
      <c r="D35" s="262">
        <f>SUM(D36:D38)</f>
        <v>156881978.0736</v>
      </c>
      <c r="E35" s="262">
        <f>SUM(E36:E38)</f>
        <v>168572823.07964468</v>
      </c>
      <c r="F35" s="263">
        <f>SUM(F36:F38)</f>
        <v>604780481.1532447</v>
      </c>
    </row>
    <row r="36" spans="1:6" ht="15">
      <c r="A36" s="238" t="s">
        <v>59</v>
      </c>
      <c r="B36" s="245">
        <v>14000000</v>
      </c>
      <c r="C36" s="240">
        <f>+B36*108.452%</f>
        <v>15183279.999999998</v>
      </c>
      <c r="D36" s="240">
        <f>+C36*107.952%</f>
        <v>16390654.425599998</v>
      </c>
      <c r="E36" s="240">
        <f>+D36*107.452%</f>
        <v>17612085.99339571</v>
      </c>
      <c r="F36" s="243">
        <f>SUM(B36:E36)</f>
        <v>63186020.41899571</v>
      </c>
    </row>
    <row r="37" spans="1:6" ht="15">
      <c r="A37" s="238" t="s">
        <v>31</v>
      </c>
      <c r="B37" s="264">
        <v>0</v>
      </c>
      <c r="C37" s="240">
        <f>+B37*108.452%</f>
        <v>0</v>
      </c>
      <c r="D37" s="240">
        <f>+C37*107.952%</f>
        <v>0</v>
      </c>
      <c r="E37" s="240">
        <f>+D37*107.452%</f>
        <v>0</v>
      </c>
      <c r="F37" s="243">
        <f>SUM(B37:E37)</f>
        <v>0</v>
      </c>
    </row>
    <row r="38" spans="1:6" ht="15.75" customHeight="1">
      <c r="A38" s="238" t="s">
        <v>32</v>
      </c>
      <c r="B38" s="245">
        <v>120000000</v>
      </c>
      <c r="C38" s="240">
        <f>+B38*108.452%</f>
        <v>130142399.99999999</v>
      </c>
      <c r="D38" s="240">
        <f>+C38*107.952%</f>
        <v>140491323.648</v>
      </c>
      <c r="E38" s="240">
        <f>+D38*107.452%</f>
        <v>150960737.08624896</v>
      </c>
      <c r="F38" s="243">
        <f>SUM(B38:E38)</f>
        <v>541594460.734249</v>
      </c>
    </row>
    <row r="39" spans="1:6" ht="15">
      <c r="A39" s="265" t="s">
        <v>33</v>
      </c>
      <c r="B39" s="266">
        <f>SUM(B40:B44)</f>
        <v>1054893458.5</v>
      </c>
      <c r="C39" s="266">
        <f>SUM(C40:C44)</f>
        <v>97606800</v>
      </c>
      <c r="D39" s="266">
        <f>SUM(D40:D44)</f>
        <v>105368492.736</v>
      </c>
      <c r="E39" s="266">
        <f>SUM(E40:E44)</f>
        <v>113220552.81468672</v>
      </c>
      <c r="F39" s="267">
        <f>SUM(F40:F44)</f>
        <v>1371089304.0506868</v>
      </c>
    </row>
    <row r="40" spans="1:6" s="10" customFormat="1" ht="26.25">
      <c r="A40" s="73" t="s">
        <v>46</v>
      </c>
      <c r="B40" s="254">
        <v>90000000</v>
      </c>
      <c r="C40" s="268">
        <f>+B40*108.452%</f>
        <v>97606800</v>
      </c>
      <c r="D40" s="261">
        <f>+C40*107.952%</f>
        <v>105368492.736</v>
      </c>
      <c r="E40" s="261">
        <f>+D40*107.452%</f>
        <v>113220552.81468672</v>
      </c>
      <c r="F40" s="269">
        <f>SUM(B40:E40)</f>
        <v>406195845.5506867</v>
      </c>
    </row>
    <row r="41" spans="1:6" s="10" customFormat="1" ht="26.25">
      <c r="A41" s="73" t="s">
        <v>47</v>
      </c>
      <c r="B41" s="254">
        <v>387102965.5</v>
      </c>
      <c r="C41" s="268"/>
      <c r="D41" s="261"/>
      <c r="E41" s="261"/>
      <c r="F41" s="269">
        <f>SUM(B41:E41)</f>
        <v>387102965.5</v>
      </c>
    </row>
    <row r="42" spans="1:10" s="10" customFormat="1" ht="26.25">
      <c r="A42" s="73" t="s">
        <v>48</v>
      </c>
      <c r="B42" s="254">
        <v>129317969</v>
      </c>
      <c r="C42" s="268"/>
      <c r="D42" s="261"/>
      <c r="E42" s="261"/>
      <c r="F42" s="269">
        <f>SUM(B42:E42)</f>
        <v>129317969</v>
      </c>
      <c r="J42" s="15"/>
    </row>
    <row r="43" spans="1:6" s="10" customFormat="1" ht="26.25">
      <c r="A43" s="73" t="s">
        <v>49</v>
      </c>
      <c r="B43" s="254">
        <v>180000000</v>
      </c>
      <c r="C43" s="268"/>
      <c r="D43" s="261"/>
      <c r="E43" s="261"/>
      <c r="F43" s="269">
        <f>SUM(B43:E43)</f>
        <v>180000000</v>
      </c>
    </row>
    <row r="44" spans="1:6" s="10" customFormat="1" ht="26.25">
      <c r="A44" s="73" t="s">
        <v>50</v>
      </c>
      <c r="B44" s="254">
        <v>268472524</v>
      </c>
      <c r="C44" s="268"/>
      <c r="D44" s="261"/>
      <c r="E44" s="261"/>
      <c r="F44" s="269">
        <f>SUM(B44:E44)</f>
        <v>268472524</v>
      </c>
    </row>
    <row r="45" spans="1:7" ht="15">
      <c r="A45" s="270" t="s">
        <v>34</v>
      </c>
      <c r="B45" s="271">
        <f>+B39+B35+B29+B14+B7</f>
        <v>16009267946.7</v>
      </c>
      <c r="C45" s="271">
        <f>+C39+C35+C29+C14+C7</f>
        <v>15589296619.942665</v>
      </c>
      <c r="D45" s="271">
        <f>+D39+D35+D29+D14+D7</f>
        <v>16828957487.160505</v>
      </c>
      <c r="E45" s="271">
        <f>+E39+E35+E29+E14+E7</f>
        <v>18083051399.103703</v>
      </c>
      <c r="F45" s="272">
        <f>+F39+F35+F29+F14+F7</f>
        <v>66510573452.90687</v>
      </c>
      <c r="G45" s="14"/>
    </row>
    <row r="46" spans="1:6" ht="15.75" thickBot="1">
      <c r="A46" s="273" t="s">
        <v>79</v>
      </c>
      <c r="B46" s="274">
        <f>+B45-'[1]Hoja1'!$C$8-B40</f>
        <v>14815347070.7</v>
      </c>
      <c r="C46" s="274">
        <f>+C45-'GASTOS E INVERSION SIN GESTION'!D8-'GASTOS E INVERSION SIN GESTION'!D234</f>
        <v>14294271155.503145</v>
      </c>
      <c r="D46" s="274">
        <f>+D45-D40-'[1]Hoja1'!$E$8</f>
        <v>15430768701.788755</v>
      </c>
      <c r="E46" s="274">
        <f>+E45-E40-'[1]Hoja1'!$F$8</f>
        <v>16580498189.44605</v>
      </c>
      <c r="F46" s="275">
        <f>+B46+C46+D46+E46</f>
        <v>61120885117.43796</v>
      </c>
    </row>
    <row r="47" spans="1:6" ht="15.75" thickTop="1">
      <c r="A47" s="2"/>
      <c r="B47" s="8"/>
      <c r="C47" s="7"/>
      <c r="D47" s="16"/>
      <c r="E47" s="16"/>
      <c r="F47" s="16"/>
    </row>
    <row r="48" spans="1:6" ht="22.5" customHeight="1">
      <c r="A48" s="537" t="s">
        <v>644</v>
      </c>
      <c r="B48" s="537"/>
      <c r="C48" s="537"/>
      <c r="D48" s="537"/>
      <c r="E48" s="16"/>
      <c r="F48" s="16"/>
    </row>
    <row r="49" spans="1:6" ht="24.75" customHeight="1">
      <c r="A49" s="536" t="s">
        <v>643</v>
      </c>
      <c r="B49" s="536"/>
      <c r="C49" s="536"/>
      <c r="D49" s="536"/>
      <c r="E49" s="16"/>
      <c r="F49" s="16"/>
    </row>
    <row r="50" spans="1:6" ht="48.75" customHeight="1">
      <c r="A50" s="536" t="s">
        <v>642</v>
      </c>
      <c r="B50" s="536"/>
      <c r="C50" s="536"/>
      <c r="D50" s="536"/>
      <c r="E50" s="16"/>
      <c r="F50" s="16"/>
    </row>
    <row r="51" spans="1:6" ht="15">
      <c r="A51" s="8"/>
      <c r="B51" s="8"/>
      <c r="C51" s="7"/>
      <c r="D51" s="16"/>
      <c r="E51" s="16"/>
      <c r="F51" s="16"/>
    </row>
    <row r="52" spans="1:9" ht="15.75" thickBot="1">
      <c r="A52" s="1"/>
      <c r="B52" s="1"/>
      <c r="I52" s="12"/>
    </row>
    <row r="53" spans="1:4" ht="18.75" thickTop="1">
      <c r="A53" s="531" t="s">
        <v>503</v>
      </c>
      <c r="B53" s="532"/>
      <c r="C53" s="532"/>
      <c r="D53" s="533"/>
    </row>
    <row r="54" spans="1:4" ht="15.75">
      <c r="A54" s="529" t="s">
        <v>501</v>
      </c>
      <c r="B54" s="530"/>
      <c r="C54" s="530"/>
      <c r="D54" s="74" t="s">
        <v>502</v>
      </c>
    </row>
    <row r="55" spans="1:5" ht="28.5" customHeight="1">
      <c r="A55" s="534" t="s">
        <v>60</v>
      </c>
      <c r="B55" s="535"/>
      <c r="C55" s="535"/>
      <c r="D55" s="276">
        <f>+F45</f>
        <v>66510573452.90687</v>
      </c>
      <c r="E55" s="4"/>
    </row>
    <row r="56" spans="1:5" ht="28.5" customHeight="1">
      <c r="A56" s="534" t="s">
        <v>61</v>
      </c>
      <c r="B56" s="535"/>
      <c r="C56" s="535"/>
      <c r="D56" s="276">
        <f>+'GASTOS E INVERSION SIN GESTION'!G8</f>
        <v>4983492489.918238</v>
      </c>
      <c r="E56" s="5"/>
    </row>
    <row r="57" spans="1:5" ht="28.5" customHeight="1">
      <c r="A57" s="534" t="s">
        <v>62</v>
      </c>
      <c r="B57" s="535"/>
      <c r="C57" s="535"/>
      <c r="D57" s="276">
        <v>406195846</v>
      </c>
      <c r="E57" s="4"/>
    </row>
    <row r="58" spans="1:5" ht="28.5" customHeight="1">
      <c r="A58" s="534" t="s">
        <v>504</v>
      </c>
      <c r="B58" s="535"/>
      <c r="C58" s="535"/>
      <c r="D58" s="276">
        <f>+D55-D56-D57</f>
        <v>61120885116.98863</v>
      </c>
      <c r="E58" s="123"/>
    </row>
    <row r="59" spans="1:6" ht="28.5" customHeight="1">
      <c r="A59" s="534" t="s">
        <v>63</v>
      </c>
      <c r="B59" s="535"/>
      <c r="C59" s="535"/>
      <c r="D59" s="276">
        <f>+'recursos de Gestión '!F79</f>
        <v>44983504774.51088</v>
      </c>
      <c r="F59" s="6">
        <v>40483504774.51088</v>
      </c>
    </row>
    <row r="60" spans="1:6" ht="28.5" customHeight="1" thickBot="1">
      <c r="A60" s="524" t="s">
        <v>500</v>
      </c>
      <c r="B60" s="525"/>
      <c r="C60" s="525"/>
      <c r="D60" s="277">
        <f>+D55-D56-D57+D59</f>
        <v>106104389891.49951</v>
      </c>
      <c r="F60" s="13"/>
    </row>
    <row r="61" ht="15.75" thickTop="1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  <row r="90" ht="15">
      <c r="F90"/>
    </row>
    <row r="91" spans="5:6" ht="15">
      <c r="E91" s="6">
        <f>450000000/12</f>
        <v>37500000</v>
      </c>
      <c r="F91"/>
    </row>
    <row r="92" spans="5:6" ht="15">
      <c r="E92" s="6">
        <f>+E91/300000</f>
        <v>125</v>
      </c>
      <c r="F92"/>
    </row>
    <row r="93" ht="15">
      <c r="F93"/>
    </row>
  </sheetData>
  <sheetProtection/>
  <mergeCells count="16">
    <mergeCell ref="A48:D48"/>
    <mergeCell ref="A1:F1"/>
    <mergeCell ref="A55:C55"/>
    <mergeCell ref="A56:C56"/>
    <mergeCell ref="A57:C57"/>
    <mergeCell ref="A59:C59"/>
    <mergeCell ref="A60:C60"/>
    <mergeCell ref="A2:F2"/>
    <mergeCell ref="A3:F3"/>
    <mergeCell ref="A4:F4"/>
    <mergeCell ref="A5:F5"/>
    <mergeCell ref="A54:C54"/>
    <mergeCell ref="A53:D53"/>
    <mergeCell ref="A58:C58"/>
    <mergeCell ref="A50:D50"/>
    <mergeCell ref="A49:D49"/>
  </mergeCells>
  <printOptions/>
  <pageMargins left="1" right="0.25" top="0.75" bottom="0.5" header="0.31496062992126" footer="0.31496062992126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43">
      <selection activeCell="E80" sqref="E80"/>
    </sheetView>
  </sheetViews>
  <sheetFormatPr defaultColWidth="11.421875" defaultRowHeight="15"/>
  <cols>
    <col min="1" max="1" width="51.8515625" style="0" customWidth="1"/>
    <col min="2" max="6" width="16.421875" style="0" customWidth="1"/>
  </cols>
  <sheetData>
    <row r="1" spans="1:7" ht="15">
      <c r="A1" s="541" t="s">
        <v>1</v>
      </c>
      <c r="B1" s="541"/>
      <c r="C1" s="541"/>
      <c r="D1" s="541"/>
      <c r="E1" s="541"/>
      <c r="F1" s="541"/>
      <c r="G1" s="210"/>
    </row>
    <row r="2" spans="1:7" ht="15">
      <c r="A2" s="539" t="s">
        <v>2</v>
      </c>
      <c r="B2" s="539"/>
      <c r="C2" s="539"/>
      <c r="D2" s="539"/>
      <c r="E2" s="539"/>
      <c r="F2" s="539"/>
      <c r="G2" s="211"/>
    </row>
    <row r="3" spans="1:7" ht="16.5" customHeight="1">
      <c r="A3" s="541" t="s">
        <v>546</v>
      </c>
      <c r="B3" s="541"/>
      <c r="C3" s="541"/>
      <c r="D3" s="541"/>
      <c r="E3" s="541"/>
      <c r="F3" s="541"/>
      <c r="G3" s="210"/>
    </row>
    <row r="4" spans="1:7" ht="15">
      <c r="A4" s="540" t="s">
        <v>35</v>
      </c>
      <c r="B4" s="540"/>
      <c r="C4" s="540"/>
      <c r="D4" s="540"/>
      <c r="E4" s="540"/>
      <c r="F4" s="540"/>
      <c r="G4" s="11"/>
    </row>
    <row r="5" spans="1:7" ht="15.75" thickBot="1">
      <c r="A5" s="538"/>
      <c r="B5" s="538"/>
      <c r="C5" s="538"/>
      <c r="D5" s="538"/>
      <c r="E5" s="538"/>
      <c r="F5" s="538"/>
      <c r="G5" s="9"/>
    </row>
    <row r="6" spans="1:7" ht="16.5" thickBot="1" thickTop="1">
      <c r="A6" s="150" t="s">
        <v>547</v>
      </c>
      <c r="B6" s="151">
        <v>2012</v>
      </c>
      <c r="C6" s="152">
        <v>2013</v>
      </c>
      <c r="D6" s="152">
        <v>2014</v>
      </c>
      <c r="E6" s="152">
        <v>2015</v>
      </c>
      <c r="F6" s="153" t="s">
        <v>5</v>
      </c>
      <c r="G6" s="6"/>
    </row>
    <row r="7" spans="1:7" ht="15.75" thickBot="1">
      <c r="A7" s="157" t="s">
        <v>36</v>
      </c>
      <c r="B7" s="158">
        <f>SUM(B8:B12)</f>
        <v>570000000</v>
      </c>
      <c r="C7" s="158">
        <f>SUM(C8:C12)</f>
        <v>830000000</v>
      </c>
      <c r="D7" s="158">
        <f>SUM(D8:D12)</f>
        <v>970000000</v>
      </c>
      <c r="E7" s="158">
        <f>SUM(E8:E12)</f>
        <v>770000000</v>
      </c>
      <c r="F7" s="159">
        <f>SUM(F8:F12)</f>
        <v>3140000000</v>
      </c>
      <c r="G7" s="6"/>
    </row>
    <row r="8" spans="1:7" ht="30.75" customHeight="1">
      <c r="A8" s="154" t="s">
        <v>543</v>
      </c>
      <c r="B8" s="155">
        <v>160000000</v>
      </c>
      <c r="C8" s="155">
        <v>250000000</v>
      </c>
      <c r="D8" s="155">
        <v>350000000</v>
      </c>
      <c r="E8" s="155">
        <v>200000000</v>
      </c>
      <c r="F8" s="156">
        <f>SUM(B8:E8)</f>
        <v>960000000</v>
      </c>
      <c r="G8" s="6"/>
    </row>
    <row r="9" spans="1:7" ht="34.5" customHeight="1">
      <c r="A9" s="132" t="s">
        <v>544</v>
      </c>
      <c r="B9" s="133">
        <v>200000000</v>
      </c>
      <c r="C9" s="133">
        <v>250000000</v>
      </c>
      <c r="D9" s="133">
        <v>250000000</v>
      </c>
      <c r="E9" s="133">
        <v>250000000</v>
      </c>
      <c r="F9" s="134">
        <f>SUM(B9:E9)</f>
        <v>950000000</v>
      </c>
      <c r="G9" s="6"/>
    </row>
    <row r="10" spans="1:7" ht="19.5" customHeight="1">
      <c r="A10" s="132" t="s">
        <v>555</v>
      </c>
      <c r="B10" s="133">
        <v>80000000</v>
      </c>
      <c r="C10" s="133">
        <v>120000000</v>
      </c>
      <c r="D10" s="133">
        <v>150000000</v>
      </c>
      <c r="E10" s="133">
        <v>130000000</v>
      </c>
      <c r="F10" s="134">
        <f>SUM(B10:E10)</f>
        <v>480000000</v>
      </c>
      <c r="G10" s="6"/>
    </row>
    <row r="11" spans="1:7" ht="19.5" customHeight="1">
      <c r="A11" s="132" t="s">
        <v>545</v>
      </c>
      <c r="B11" s="135">
        <v>80000000</v>
      </c>
      <c r="C11" s="135">
        <v>150000000</v>
      </c>
      <c r="D11" s="135">
        <v>150000000</v>
      </c>
      <c r="E11" s="135">
        <v>150000000</v>
      </c>
      <c r="F11" s="134">
        <f>SUM(B11:E11)</f>
        <v>530000000</v>
      </c>
      <c r="G11" s="6"/>
    </row>
    <row r="12" spans="1:7" ht="19.5" customHeight="1" thickBot="1">
      <c r="A12" s="160" t="s">
        <v>537</v>
      </c>
      <c r="B12" s="161">
        <v>50000000</v>
      </c>
      <c r="C12" s="161">
        <v>60000000</v>
      </c>
      <c r="D12" s="161">
        <v>70000000</v>
      </c>
      <c r="E12" s="161">
        <v>40000000</v>
      </c>
      <c r="F12" s="162">
        <f>SUM(B12:E12)</f>
        <v>220000000</v>
      </c>
      <c r="G12" s="6"/>
    </row>
    <row r="13" spans="1:7" ht="19.5" customHeight="1" thickBot="1">
      <c r="A13" s="167" t="s">
        <v>37</v>
      </c>
      <c r="B13" s="168">
        <f>SUM(B14:B19)</f>
        <v>775000000</v>
      </c>
      <c r="C13" s="168">
        <f>SUM(C14:C19)</f>
        <v>1027825000</v>
      </c>
      <c r="D13" s="168">
        <f>SUM(D14:D19)</f>
        <v>1185701643.9999998</v>
      </c>
      <c r="E13" s="168">
        <f>SUM(E14:E19)</f>
        <v>1247978130.51088</v>
      </c>
      <c r="F13" s="169">
        <f>SUM(F14:F19)</f>
        <v>4236504774.5108795</v>
      </c>
      <c r="G13" s="6"/>
    </row>
    <row r="14" spans="1:7" ht="19.5" customHeight="1">
      <c r="A14" s="163" t="s">
        <v>538</v>
      </c>
      <c r="B14" s="164">
        <v>75000000</v>
      </c>
      <c r="C14" s="165">
        <f>+B14*108.452%</f>
        <v>81339000</v>
      </c>
      <c r="D14" s="165">
        <f>+C14*107.952%</f>
        <v>87807077.28</v>
      </c>
      <c r="E14" s="165">
        <f>+D14*107.452%</f>
        <v>94350460.67890559</v>
      </c>
      <c r="F14" s="166">
        <f aca="true" t="shared" si="0" ref="F14:F19">SUM(B14:E14)</f>
        <v>338496537.9589056</v>
      </c>
      <c r="G14" s="6"/>
    </row>
    <row r="15" spans="1:7" ht="19.5" customHeight="1">
      <c r="A15" s="140" t="s">
        <v>38</v>
      </c>
      <c r="B15" s="136">
        <v>150000000</v>
      </c>
      <c r="C15" s="136">
        <v>300000000</v>
      </c>
      <c r="D15" s="136">
        <v>350000000</v>
      </c>
      <c r="E15" s="141">
        <v>350000000</v>
      </c>
      <c r="F15" s="139">
        <f t="shared" si="0"/>
        <v>1150000000</v>
      </c>
      <c r="G15" s="6"/>
    </row>
    <row r="16" spans="1:7" ht="32.25" customHeight="1">
      <c r="A16" s="137" t="s">
        <v>52</v>
      </c>
      <c r="B16" s="135">
        <v>150000000</v>
      </c>
      <c r="C16" s="135">
        <f>+B16*108.452%</f>
        <v>162678000</v>
      </c>
      <c r="D16" s="135">
        <f>+C16*107.952%</f>
        <v>175614154.56</v>
      </c>
      <c r="E16" s="135">
        <f>+D16*107.452%</f>
        <v>188700921.35781118</v>
      </c>
      <c r="F16" s="139">
        <f t="shared" si="0"/>
        <v>676993075.9178112</v>
      </c>
      <c r="G16" s="6"/>
    </row>
    <row r="17" spans="1:7" ht="32.25" customHeight="1">
      <c r="A17" s="132" t="s">
        <v>540</v>
      </c>
      <c r="B17" s="135">
        <v>100000000</v>
      </c>
      <c r="C17" s="135">
        <f>(+B17*108.452%)+50000000</f>
        <v>158452000</v>
      </c>
      <c r="D17" s="135">
        <f>(+C17*107.952%)+50000000</f>
        <v>221052103.04</v>
      </c>
      <c r="E17" s="135">
        <f>+D17*107.452%</f>
        <v>237524905.75854078</v>
      </c>
      <c r="F17" s="139">
        <f t="shared" si="0"/>
        <v>717029008.7985407</v>
      </c>
      <c r="G17" s="6"/>
    </row>
    <row r="18" spans="1:7" ht="32.25" customHeight="1">
      <c r="A18" s="132" t="s">
        <v>541</v>
      </c>
      <c r="B18" s="135">
        <v>150000000</v>
      </c>
      <c r="C18" s="135">
        <f>+B18*108.452%</f>
        <v>162678000</v>
      </c>
      <c r="D18" s="135">
        <f>+C18*107.952%</f>
        <v>175614154.56</v>
      </c>
      <c r="E18" s="135">
        <f>+D18*107.452%</f>
        <v>188700921.35781118</v>
      </c>
      <c r="F18" s="139">
        <f t="shared" si="0"/>
        <v>676993075.9178112</v>
      </c>
      <c r="G18" s="6"/>
    </row>
    <row r="19" spans="1:7" ht="32.25" customHeight="1" thickBot="1">
      <c r="A19" s="160" t="s">
        <v>542</v>
      </c>
      <c r="B19" s="170">
        <v>150000000</v>
      </c>
      <c r="C19" s="170">
        <f>+B19*108.452%</f>
        <v>162678000</v>
      </c>
      <c r="D19" s="170">
        <f>+C19*107.952%</f>
        <v>175614154.56</v>
      </c>
      <c r="E19" s="170">
        <f>+D19*107.452%</f>
        <v>188700921.35781118</v>
      </c>
      <c r="F19" s="171">
        <f t="shared" si="0"/>
        <v>676993075.9178112</v>
      </c>
      <c r="G19" s="6"/>
    </row>
    <row r="20" spans="1:7" ht="19.5" customHeight="1" thickBot="1">
      <c r="A20" s="167" t="s">
        <v>39</v>
      </c>
      <c r="B20" s="168">
        <f>SUM(B21:B24)</f>
        <v>155000000</v>
      </c>
      <c r="C20" s="168">
        <f>SUM(C21:C24)</f>
        <v>270000000</v>
      </c>
      <c r="D20" s="168">
        <f>SUM(D21:D24)</f>
        <v>260000000</v>
      </c>
      <c r="E20" s="168">
        <f>SUM(E21:E24)</f>
        <v>240000000</v>
      </c>
      <c r="F20" s="169">
        <f>SUM(F21:F24)</f>
        <v>925000000</v>
      </c>
      <c r="G20" s="6"/>
    </row>
    <row r="21" spans="1:7" ht="33.75" customHeight="1">
      <c r="A21" s="172" t="s">
        <v>559</v>
      </c>
      <c r="B21" s="165">
        <v>20000000</v>
      </c>
      <c r="C21" s="165">
        <v>40000000</v>
      </c>
      <c r="D21" s="165">
        <v>40000000</v>
      </c>
      <c r="E21" s="165">
        <v>30000000</v>
      </c>
      <c r="F21" s="166">
        <f>+B21+C21+D21+E21</f>
        <v>130000000</v>
      </c>
      <c r="G21" s="6"/>
    </row>
    <row r="22" spans="1:7" ht="29.25" customHeight="1">
      <c r="A22" s="142" t="s">
        <v>560</v>
      </c>
      <c r="B22" s="138">
        <v>35000000</v>
      </c>
      <c r="C22" s="133">
        <v>80000000</v>
      </c>
      <c r="D22" s="133">
        <v>90000000</v>
      </c>
      <c r="E22" s="133">
        <v>90000000</v>
      </c>
      <c r="F22" s="139">
        <f>+B22+C22+D22+E22</f>
        <v>295000000</v>
      </c>
      <c r="G22" s="6"/>
    </row>
    <row r="23" spans="1:7" ht="33" customHeight="1">
      <c r="A23" s="143" t="s">
        <v>561</v>
      </c>
      <c r="B23" s="138">
        <v>80000000</v>
      </c>
      <c r="C23" s="133">
        <v>120000000</v>
      </c>
      <c r="D23" s="133">
        <v>100000000</v>
      </c>
      <c r="E23" s="133">
        <v>90000000</v>
      </c>
      <c r="F23" s="139">
        <f>+B23+C23+D23+E23</f>
        <v>390000000</v>
      </c>
      <c r="G23" s="6"/>
    </row>
    <row r="24" spans="1:7" ht="30" customHeight="1" thickBot="1">
      <c r="A24" s="173" t="s">
        <v>562</v>
      </c>
      <c r="B24" s="174">
        <v>20000000</v>
      </c>
      <c r="C24" s="175">
        <v>30000000</v>
      </c>
      <c r="D24" s="175">
        <v>30000000</v>
      </c>
      <c r="E24" s="175">
        <v>30000000</v>
      </c>
      <c r="F24" s="171">
        <f>+B24+C24+D24+E24</f>
        <v>110000000</v>
      </c>
      <c r="G24" s="6"/>
    </row>
    <row r="25" spans="1:7" ht="19.5" customHeight="1" thickBot="1">
      <c r="A25" s="167" t="s">
        <v>68</v>
      </c>
      <c r="B25" s="168">
        <f>SUM(B26:B28)</f>
        <v>65000000</v>
      </c>
      <c r="C25" s="168">
        <f>SUM(C26:C28)</f>
        <v>80000000</v>
      </c>
      <c r="D25" s="168">
        <f>SUM(D26:D28)</f>
        <v>90000000</v>
      </c>
      <c r="E25" s="168">
        <f>SUM(E26:E28)</f>
        <v>90000000</v>
      </c>
      <c r="F25" s="169">
        <f>SUM(F26:F28)</f>
        <v>325000000</v>
      </c>
      <c r="G25" s="6"/>
    </row>
    <row r="26" spans="1:7" ht="19.5" customHeight="1">
      <c r="A26" s="163" t="s">
        <v>66</v>
      </c>
      <c r="B26" s="164">
        <v>15000000</v>
      </c>
      <c r="C26" s="155">
        <v>20000000</v>
      </c>
      <c r="D26" s="155">
        <v>30000000</v>
      </c>
      <c r="E26" s="155">
        <v>30000000</v>
      </c>
      <c r="F26" s="176">
        <f>+B26+C26+D26+E26</f>
        <v>95000000</v>
      </c>
      <c r="G26" s="6"/>
    </row>
    <row r="27" spans="1:7" ht="19.5" customHeight="1">
      <c r="A27" s="137" t="s">
        <v>566</v>
      </c>
      <c r="B27" s="138">
        <v>25000000</v>
      </c>
      <c r="C27" s="133">
        <v>30000000</v>
      </c>
      <c r="D27" s="133">
        <v>30000000</v>
      </c>
      <c r="E27" s="133">
        <v>30000000</v>
      </c>
      <c r="F27" s="144">
        <f>+B27+C27+D27+E27</f>
        <v>115000000</v>
      </c>
      <c r="G27" s="6"/>
    </row>
    <row r="28" spans="1:7" ht="19.5" customHeight="1" thickBot="1">
      <c r="A28" s="177" t="s">
        <v>67</v>
      </c>
      <c r="B28" s="174">
        <v>25000000</v>
      </c>
      <c r="C28" s="175">
        <v>30000000</v>
      </c>
      <c r="D28" s="175">
        <v>30000000</v>
      </c>
      <c r="E28" s="175">
        <v>30000000</v>
      </c>
      <c r="F28" s="178">
        <f>+B28+C28+D28+E28</f>
        <v>115000000</v>
      </c>
      <c r="G28" s="6"/>
    </row>
    <row r="29" spans="1:7" ht="19.5" customHeight="1" thickBot="1">
      <c r="A29" s="167" t="s">
        <v>77</v>
      </c>
      <c r="B29" s="168">
        <f>+B30+B31+B32</f>
        <v>700000000</v>
      </c>
      <c r="C29" s="168">
        <f>+C30+C31+C32</f>
        <v>1850000000</v>
      </c>
      <c r="D29" s="168">
        <f>+D30+D31+D32</f>
        <v>1100000000</v>
      </c>
      <c r="E29" s="168">
        <f>+E30+E31+E32</f>
        <v>600000000</v>
      </c>
      <c r="F29" s="169">
        <f>+F30+F31+F32</f>
        <v>4250000000</v>
      </c>
      <c r="G29" s="6"/>
    </row>
    <row r="30" spans="1:7" ht="34.5" customHeight="1">
      <c r="A30" s="163" t="s">
        <v>53</v>
      </c>
      <c r="B30" s="164">
        <v>300000000</v>
      </c>
      <c r="C30" s="155">
        <v>1000000000</v>
      </c>
      <c r="D30" s="155">
        <v>500000000</v>
      </c>
      <c r="E30" s="155">
        <v>300000000</v>
      </c>
      <c r="F30" s="176">
        <f>+B30+C30+D30+E30</f>
        <v>2100000000</v>
      </c>
      <c r="G30" s="6"/>
    </row>
    <row r="31" spans="1:7" ht="19.5" customHeight="1">
      <c r="A31" s="137" t="s">
        <v>518</v>
      </c>
      <c r="B31" s="138">
        <v>200000000</v>
      </c>
      <c r="C31" s="133">
        <v>500000000</v>
      </c>
      <c r="D31" s="133">
        <v>350000000</v>
      </c>
      <c r="E31" s="133">
        <v>100000000</v>
      </c>
      <c r="F31" s="144">
        <f>+B31+C31+D31+E31</f>
        <v>1150000000</v>
      </c>
      <c r="G31" s="6"/>
    </row>
    <row r="32" spans="1:7" ht="30.75" customHeight="1" thickBot="1">
      <c r="A32" s="179" t="s">
        <v>548</v>
      </c>
      <c r="B32" s="161">
        <v>200000000</v>
      </c>
      <c r="C32" s="161">
        <v>350000000</v>
      </c>
      <c r="D32" s="161">
        <v>250000000</v>
      </c>
      <c r="E32" s="161">
        <v>200000000</v>
      </c>
      <c r="F32" s="171">
        <f>+B32+C32+D32+E32</f>
        <v>1000000000</v>
      </c>
      <c r="G32" s="6"/>
    </row>
    <row r="33" spans="1:7" ht="33.75" customHeight="1" thickBot="1">
      <c r="A33" s="167" t="s">
        <v>70</v>
      </c>
      <c r="B33" s="180">
        <f>SUM(B34:B41)</f>
        <v>650000000</v>
      </c>
      <c r="C33" s="180">
        <f>SUM(C34:C41)</f>
        <v>1190000000</v>
      </c>
      <c r="D33" s="180">
        <f>SUM(D34:D41)</f>
        <v>1250000000</v>
      </c>
      <c r="E33" s="180">
        <f>SUM(E34:E41)</f>
        <v>1005000000</v>
      </c>
      <c r="F33" s="181">
        <f>SUM(F34:F41)</f>
        <v>4095000000</v>
      </c>
      <c r="G33" s="6"/>
    </row>
    <row r="34" spans="1:7" ht="19.5" customHeight="1">
      <c r="A34" s="163" t="s">
        <v>75</v>
      </c>
      <c r="B34" s="165">
        <v>70000000</v>
      </c>
      <c r="C34" s="165">
        <v>150000000</v>
      </c>
      <c r="D34" s="165">
        <v>150000000</v>
      </c>
      <c r="E34" s="165">
        <v>150000000</v>
      </c>
      <c r="F34" s="166">
        <f aca="true" t="shared" si="1" ref="F34:F41">+B34+C34+D34+E34</f>
        <v>520000000</v>
      </c>
      <c r="G34" s="6"/>
    </row>
    <row r="35" spans="1:7" ht="19.5" customHeight="1">
      <c r="A35" s="137" t="s">
        <v>581</v>
      </c>
      <c r="B35" s="135">
        <v>40000000</v>
      </c>
      <c r="C35" s="135">
        <v>60000000</v>
      </c>
      <c r="D35" s="135">
        <v>70000000</v>
      </c>
      <c r="E35" s="135">
        <v>70000000</v>
      </c>
      <c r="F35" s="139">
        <f t="shared" si="1"/>
        <v>240000000</v>
      </c>
      <c r="G35" s="6"/>
    </row>
    <row r="36" spans="1:7" ht="19.5" customHeight="1">
      <c r="A36" s="137" t="s">
        <v>71</v>
      </c>
      <c r="B36" s="135">
        <v>50000000</v>
      </c>
      <c r="C36" s="135">
        <v>150000000</v>
      </c>
      <c r="D36" s="135">
        <v>200000000</v>
      </c>
      <c r="E36" s="135">
        <v>100000000</v>
      </c>
      <c r="F36" s="139">
        <f t="shared" si="1"/>
        <v>500000000</v>
      </c>
      <c r="G36" s="6"/>
    </row>
    <row r="37" spans="1:7" ht="19.5" customHeight="1">
      <c r="A37" s="137" t="s">
        <v>74</v>
      </c>
      <c r="B37" s="135">
        <v>50000000</v>
      </c>
      <c r="C37" s="135">
        <v>100000000</v>
      </c>
      <c r="D37" s="135">
        <v>100000000</v>
      </c>
      <c r="E37" s="135">
        <v>50000000</v>
      </c>
      <c r="F37" s="139">
        <f t="shared" si="1"/>
        <v>300000000</v>
      </c>
      <c r="G37" s="6"/>
    </row>
    <row r="38" spans="1:7" ht="19.5" customHeight="1">
      <c r="A38" s="137" t="s">
        <v>72</v>
      </c>
      <c r="B38" s="135">
        <v>150000000</v>
      </c>
      <c r="C38" s="135">
        <v>300000000</v>
      </c>
      <c r="D38" s="135">
        <v>300000000</v>
      </c>
      <c r="E38" s="135">
        <v>250000000</v>
      </c>
      <c r="F38" s="139">
        <f t="shared" si="1"/>
        <v>1000000000</v>
      </c>
      <c r="G38" s="6"/>
    </row>
    <row r="39" spans="1:7" ht="19.5" customHeight="1">
      <c r="A39" s="137" t="s">
        <v>73</v>
      </c>
      <c r="B39" s="135">
        <v>200000000</v>
      </c>
      <c r="C39" s="135">
        <v>300000000</v>
      </c>
      <c r="D39" s="135">
        <v>300000000</v>
      </c>
      <c r="E39" s="135">
        <v>250000000</v>
      </c>
      <c r="F39" s="139">
        <f t="shared" si="1"/>
        <v>1050000000</v>
      </c>
      <c r="G39" s="6"/>
    </row>
    <row r="40" spans="1:7" ht="19.5" customHeight="1">
      <c r="A40" s="137" t="s">
        <v>76</v>
      </c>
      <c r="B40" s="135">
        <v>70000000</v>
      </c>
      <c r="C40" s="135">
        <v>100000000</v>
      </c>
      <c r="D40" s="135">
        <v>100000000</v>
      </c>
      <c r="E40" s="135">
        <v>100000000</v>
      </c>
      <c r="F40" s="139">
        <f t="shared" si="1"/>
        <v>370000000</v>
      </c>
      <c r="G40" s="6"/>
    </row>
    <row r="41" spans="1:7" ht="19.5" customHeight="1" thickBot="1">
      <c r="A41" s="198" t="s">
        <v>586</v>
      </c>
      <c r="B41" s="199">
        <v>20000000</v>
      </c>
      <c r="C41" s="199">
        <v>30000000</v>
      </c>
      <c r="D41" s="199">
        <v>30000000</v>
      </c>
      <c r="E41" s="199">
        <v>35000000</v>
      </c>
      <c r="F41" s="200">
        <f t="shared" si="1"/>
        <v>115000000</v>
      </c>
      <c r="G41" s="6"/>
    </row>
    <row r="42" spans="1:7" ht="19.5" customHeight="1" thickTop="1">
      <c r="A42" s="204"/>
      <c r="B42" s="205"/>
      <c r="C42" s="205"/>
      <c r="D42" s="205"/>
      <c r="E42" s="205"/>
      <c r="F42" s="205"/>
      <c r="G42" s="6"/>
    </row>
    <row r="43" spans="1:7" ht="19.5" customHeight="1">
      <c r="A43" s="206"/>
      <c r="B43" s="207"/>
      <c r="C43" s="207"/>
      <c r="D43" s="207"/>
      <c r="E43" s="207"/>
      <c r="F43" s="207"/>
      <c r="G43" s="6"/>
    </row>
    <row r="44" spans="1:7" ht="19.5" customHeight="1">
      <c r="A44" s="206"/>
      <c r="B44" s="207"/>
      <c r="C44" s="207"/>
      <c r="D44" s="207"/>
      <c r="E44" s="207"/>
      <c r="F44" s="207"/>
      <c r="G44" s="6"/>
    </row>
    <row r="45" spans="1:7" ht="19.5" customHeight="1">
      <c r="A45" s="206"/>
      <c r="B45" s="207"/>
      <c r="C45" s="207"/>
      <c r="D45" s="207"/>
      <c r="E45" s="207"/>
      <c r="F45" s="207"/>
      <c r="G45" s="6"/>
    </row>
    <row r="46" spans="1:7" ht="19.5" customHeight="1" thickBot="1">
      <c r="A46" s="208"/>
      <c r="B46" s="209"/>
      <c r="C46" s="209"/>
      <c r="D46" s="209"/>
      <c r="E46" s="209"/>
      <c r="F46" s="209"/>
      <c r="G46" s="6"/>
    </row>
    <row r="47" spans="1:7" ht="19.5" customHeight="1" thickBot="1" thickTop="1">
      <c r="A47" s="201" t="s">
        <v>595</v>
      </c>
      <c r="B47" s="202">
        <f>SUM(B48:B52)</f>
        <v>1080000000</v>
      </c>
      <c r="C47" s="202">
        <f>SUM(C48:C52)</f>
        <v>3695000000</v>
      </c>
      <c r="D47" s="202">
        <f>SUM(D48:D52)</f>
        <v>3645000000</v>
      </c>
      <c r="E47" s="202">
        <f>SUM(E48:E52)</f>
        <v>2342000000</v>
      </c>
      <c r="F47" s="203">
        <f>SUM(F48:F52)</f>
        <v>10762000000</v>
      </c>
      <c r="G47" s="6"/>
    </row>
    <row r="48" spans="1:7" ht="41.25" customHeight="1">
      <c r="A48" s="182" t="s">
        <v>593</v>
      </c>
      <c r="B48" s="183">
        <v>10000000</v>
      </c>
      <c r="C48" s="183">
        <v>15000000</v>
      </c>
      <c r="D48" s="183">
        <v>15000000</v>
      </c>
      <c r="E48" s="183">
        <v>12000000</v>
      </c>
      <c r="F48" s="184">
        <f>SUM(B48:E48)</f>
        <v>52000000</v>
      </c>
      <c r="G48" s="6"/>
    </row>
    <row r="49" spans="1:7" ht="41.25" customHeight="1">
      <c r="A49" s="145" t="s">
        <v>598</v>
      </c>
      <c r="B49" s="136">
        <v>400000000</v>
      </c>
      <c r="C49" s="136">
        <f>900000000+1700000000</f>
        <v>2600000000</v>
      </c>
      <c r="D49" s="136">
        <f>800000000+1700000000</f>
        <v>2500000000</v>
      </c>
      <c r="E49" s="136">
        <f>500000000+1100000000</f>
        <v>1600000000</v>
      </c>
      <c r="F49" s="146">
        <f>SUM(B49:E49)</f>
        <v>7100000000</v>
      </c>
      <c r="G49" s="6"/>
    </row>
    <row r="50" spans="1:7" ht="41.25" customHeight="1">
      <c r="A50" s="145" t="s">
        <v>596</v>
      </c>
      <c r="B50" s="136">
        <v>600000000</v>
      </c>
      <c r="C50" s="136">
        <v>900000000</v>
      </c>
      <c r="D50" s="136">
        <v>900000000</v>
      </c>
      <c r="E50" s="136">
        <v>550000000</v>
      </c>
      <c r="F50" s="146">
        <f>SUM(B50:E50)</f>
        <v>2950000000</v>
      </c>
      <c r="G50" s="6"/>
    </row>
    <row r="51" spans="1:7" ht="41.25" customHeight="1">
      <c r="A51" s="147" t="s">
        <v>591</v>
      </c>
      <c r="B51" s="136">
        <v>70000000</v>
      </c>
      <c r="C51" s="136">
        <v>150000000</v>
      </c>
      <c r="D51" s="136">
        <v>180000000</v>
      </c>
      <c r="E51" s="136">
        <v>160000000</v>
      </c>
      <c r="F51" s="146">
        <f>SUM(B51:E51)</f>
        <v>560000000</v>
      </c>
      <c r="G51" s="6"/>
    </row>
    <row r="52" spans="1:7" ht="41.25" customHeight="1" thickBot="1">
      <c r="A52" s="185" t="s">
        <v>592</v>
      </c>
      <c r="B52" s="186">
        <v>0</v>
      </c>
      <c r="C52" s="186">
        <v>30000000</v>
      </c>
      <c r="D52" s="186">
        <v>50000000</v>
      </c>
      <c r="E52" s="186">
        <v>20000000</v>
      </c>
      <c r="F52" s="187">
        <f>SUM(B52:E52)</f>
        <v>100000000</v>
      </c>
      <c r="G52" s="6"/>
    </row>
    <row r="53" spans="1:6" ht="19.5" customHeight="1" thickBot="1">
      <c r="A53" s="167" t="s">
        <v>510</v>
      </c>
      <c r="B53" s="180">
        <f>SUM(B54:B59)</f>
        <v>830000000</v>
      </c>
      <c r="C53" s="180">
        <f>SUM(C54:C59)</f>
        <v>3850000000</v>
      </c>
      <c r="D53" s="180">
        <f>SUM(D54:D59)</f>
        <v>3570000000</v>
      </c>
      <c r="E53" s="180">
        <f>SUM(E54:E59)</f>
        <v>1120000000</v>
      </c>
      <c r="F53" s="181">
        <f>SUM(F54:F59)</f>
        <v>9370000000</v>
      </c>
    </row>
    <row r="54" spans="1:6" ht="19.5" customHeight="1">
      <c r="A54" s="188" t="s">
        <v>41</v>
      </c>
      <c r="B54" s="183">
        <v>400000000</v>
      </c>
      <c r="C54" s="183">
        <v>750000000</v>
      </c>
      <c r="D54" s="183">
        <v>600000000</v>
      </c>
      <c r="E54" s="183">
        <v>400000000</v>
      </c>
      <c r="F54" s="166">
        <f aca="true" t="shared" si="2" ref="F54:F59">+B54+C54+D54+E54</f>
        <v>2150000000</v>
      </c>
    </row>
    <row r="55" spans="1:6" ht="19.5" customHeight="1">
      <c r="A55" s="140" t="s">
        <v>56</v>
      </c>
      <c r="B55" s="136">
        <v>200000000</v>
      </c>
      <c r="C55" s="136">
        <v>400000000</v>
      </c>
      <c r="D55" s="136">
        <v>300000000</v>
      </c>
      <c r="E55" s="136">
        <v>300000000</v>
      </c>
      <c r="F55" s="139">
        <f t="shared" si="2"/>
        <v>1200000000</v>
      </c>
    </row>
    <row r="56" spans="1:6" ht="19.5" customHeight="1">
      <c r="A56" s="140" t="s">
        <v>646</v>
      </c>
      <c r="B56" s="136"/>
      <c r="C56" s="136">
        <v>2200000000</v>
      </c>
      <c r="D56" s="136">
        <v>2200000000</v>
      </c>
      <c r="E56" s="136"/>
      <c r="F56" s="139">
        <f t="shared" si="2"/>
        <v>4400000000</v>
      </c>
    </row>
    <row r="57" spans="1:7" ht="19.5" customHeight="1">
      <c r="A57" s="140" t="s">
        <v>55</v>
      </c>
      <c r="B57" s="136">
        <v>50000000</v>
      </c>
      <c r="C57" s="136">
        <v>100000000</v>
      </c>
      <c r="D57" s="136">
        <v>100000000</v>
      </c>
      <c r="E57" s="136">
        <v>50000000</v>
      </c>
      <c r="F57" s="139">
        <f t="shared" si="2"/>
        <v>300000000</v>
      </c>
      <c r="G57" s="6"/>
    </row>
    <row r="58" spans="1:7" ht="19.5" customHeight="1">
      <c r="A58" s="140" t="s">
        <v>42</v>
      </c>
      <c r="B58" s="136">
        <v>80000000</v>
      </c>
      <c r="C58" s="136">
        <v>150000000</v>
      </c>
      <c r="D58" s="136">
        <v>100000000</v>
      </c>
      <c r="E58" s="136">
        <v>70000000</v>
      </c>
      <c r="F58" s="139">
        <f t="shared" si="2"/>
        <v>400000000</v>
      </c>
      <c r="G58" s="6"/>
    </row>
    <row r="59" spans="1:7" ht="19.5" customHeight="1" thickBot="1">
      <c r="A59" s="177" t="s">
        <v>54</v>
      </c>
      <c r="B59" s="161">
        <v>100000000</v>
      </c>
      <c r="C59" s="161">
        <v>250000000</v>
      </c>
      <c r="D59" s="161">
        <v>270000000</v>
      </c>
      <c r="E59" s="161">
        <v>300000000</v>
      </c>
      <c r="F59" s="171">
        <f t="shared" si="2"/>
        <v>920000000</v>
      </c>
      <c r="G59" s="6"/>
    </row>
    <row r="60" spans="1:7" ht="19.5" customHeight="1" thickBot="1">
      <c r="A60" s="167" t="s">
        <v>69</v>
      </c>
      <c r="B60" s="180">
        <f>+B61+B62</f>
        <v>200000000</v>
      </c>
      <c r="C60" s="180">
        <f>+C61+C62</f>
        <v>500000000</v>
      </c>
      <c r="D60" s="180">
        <f>+D61+D62</f>
        <v>270000000</v>
      </c>
      <c r="E60" s="180">
        <f>+E61+E62</f>
        <v>50000000</v>
      </c>
      <c r="F60" s="181">
        <f>+F61+F62</f>
        <v>1020000000</v>
      </c>
      <c r="G60" s="6"/>
    </row>
    <row r="61" spans="1:7" ht="19.5" customHeight="1">
      <c r="A61" s="188" t="s">
        <v>40</v>
      </c>
      <c r="B61" s="165">
        <v>100000000</v>
      </c>
      <c r="C61" s="165">
        <v>350000000</v>
      </c>
      <c r="D61" s="165">
        <v>200000000</v>
      </c>
      <c r="E61" s="165"/>
      <c r="F61" s="166">
        <f>+B61+C61+D61+E61</f>
        <v>650000000</v>
      </c>
      <c r="G61" s="6"/>
    </row>
    <row r="62" spans="1:7" ht="19.5" customHeight="1" thickBot="1">
      <c r="A62" s="179" t="s">
        <v>511</v>
      </c>
      <c r="B62" s="161">
        <v>100000000</v>
      </c>
      <c r="C62" s="161">
        <v>150000000</v>
      </c>
      <c r="D62" s="161">
        <v>70000000</v>
      </c>
      <c r="E62" s="161">
        <v>50000000</v>
      </c>
      <c r="F62" s="171">
        <f>+B62+C62+D62+E62</f>
        <v>370000000</v>
      </c>
      <c r="G62" s="6"/>
    </row>
    <row r="63" spans="1:7" ht="19.5" customHeight="1" thickBot="1">
      <c r="A63" s="167" t="s">
        <v>638</v>
      </c>
      <c r="B63" s="180">
        <f>+B64+B65</f>
        <v>120000000</v>
      </c>
      <c r="C63" s="180">
        <f>+C64+C65</f>
        <v>400000000</v>
      </c>
      <c r="D63" s="180">
        <f>+D64+D65</f>
        <v>270000000</v>
      </c>
      <c r="E63" s="180">
        <f>+E64+E65</f>
        <v>90000000</v>
      </c>
      <c r="F63" s="181">
        <f>+F64+F65</f>
        <v>880000000</v>
      </c>
      <c r="G63" s="6"/>
    </row>
    <row r="64" spans="1:7" ht="27.75" customHeight="1">
      <c r="A64" s="182" t="s">
        <v>606</v>
      </c>
      <c r="B64" s="183">
        <v>50000000</v>
      </c>
      <c r="C64" s="183">
        <v>250000000</v>
      </c>
      <c r="D64" s="183">
        <v>200000000</v>
      </c>
      <c r="E64" s="183">
        <v>50000000</v>
      </c>
      <c r="F64" s="184">
        <f>+B64+C64+D64+E64</f>
        <v>550000000</v>
      </c>
      <c r="G64" s="6"/>
    </row>
    <row r="65" spans="1:7" ht="27.75" customHeight="1" thickBot="1">
      <c r="A65" s="189" t="s">
        <v>607</v>
      </c>
      <c r="B65" s="161">
        <v>70000000</v>
      </c>
      <c r="C65" s="161">
        <v>150000000</v>
      </c>
      <c r="D65" s="161">
        <v>70000000</v>
      </c>
      <c r="E65" s="161">
        <v>40000000</v>
      </c>
      <c r="F65" s="187">
        <f>+B65+C65+D65+E65</f>
        <v>330000000</v>
      </c>
      <c r="G65" s="6"/>
    </row>
    <row r="66" spans="1:7" ht="19.5" customHeight="1" thickBot="1">
      <c r="A66" s="167" t="s">
        <v>507</v>
      </c>
      <c r="B66" s="180">
        <f>+B67+B68</f>
        <v>250000000</v>
      </c>
      <c r="C66" s="180">
        <f>+C67+C68</f>
        <v>350000000</v>
      </c>
      <c r="D66" s="180">
        <f>+D67+D68</f>
        <v>350000000</v>
      </c>
      <c r="E66" s="180">
        <f>+E67+E68</f>
        <v>200000000</v>
      </c>
      <c r="F66" s="181">
        <f>+F67+F68</f>
        <v>1150000000</v>
      </c>
      <c r="G66" s="6"/>
    </row>
    <row r="67" spans="1:7" ht="19.5" customHeight="1">
      <c r="A67" s="190" t="s">
        <v>517</v>
      </c>
      <c r="B67" s="183">
        <v>100000000</v>
      </c>
      <c r="C67" s="183">
        <v>200000000</v>
      </c>
      <c r="D67" s="183">
        <v>250000000</v>
      </c>
      <c r="E67" s="183">
        <v>100000000</v>
      </c>
      <c r="F67" s="166">
        <f>SUM(B67:E67)</f>
        <v>650000000</v>
      </c>
      <c r="G67" s="6"/>
    </row>
    <row r="68" spans="1:7" ht="19.5" customHeight="1" thickBot="1">
      <c r="A68" s="179" t="s">
        <v>57</v>
      </c>
      <c r="B68" s="161">
        <v>150000000</v>
      </c>
      <c r="C68" s="161">
        <v>150000000</v>
      </c>
      <c r="D68" s="161">
        <v>100000000</v>
      </c>
      <c r="E68" s="161">
        <v>100000000</v>
      </c>
      <c r="F68" s="187">
        <f>SUM(B68:E68)</f>
        <v>500000000</v>
      </c>
      <c r="G68" s="6"/>
    </row>
    <row r="69" spans="1:7" ht="19.5" customHeight="1" thickBot="1">
      <c r="A69" s="167" t="s">
        <v>512</v>
      </c>
      <c r="B69" s="180">
        <f>SUM(B70:B74)</f>
        <v>610000000</v>
      </c>
      <c r="C69" s="180">
        <f>SUM(C70:C74)</f>
        <v>1130000000</v>
      </c>
      <c r="D69" s="180">
        <f>SUM(D70:D74)</f>
        <v>1040000000</v>
      </c>
      <c r="E69" s="180">
        <f>SUM(E70:E74)</f>
        <v>830000000</v>
      </c>
      <c r="F69" s="181">
        <f>SUM(F70:F74)</f>
        <v>3610000000</v>
      </c>
      <c r="G69" s="6"/>
    </row>
    <row r="70" spans="1:6" ht="29.25" customHeight="1">
      <c r="A70" s="163" t="s">
        <v>58</v>
      </c>
      <c r="B70" s="165">
        <v>300000000</v>
      </c>
      <c r="C70" s="191">
        <v>400000000</v>
      </c>
      <c r="D70" s="191">
        <v>450000000</v>
      </c>
      <c r="E70" s="191">
        <v>450000000</v>
      </c>
      <c r="F70" s="192">
        <f>+B70+C70+D70+E70</f>
        <v>1600000000</v>
      </c>
    </row>
    <row r="71" spans="1:7" ht="19.5" customHeight="1">
      <c r="A71" s="137" t="s">
        <v>78</v>
      </c>
      <c r="B71" s="135">
        <v>20000000</v>
      </c>
      <c r="C71" s="148">
        <v>50000000</v>
      </c>
      <c r="D71" s="148">
        <v>40000000</v>
      </c>
      <c r="E71" s="148">
        <v>30000000</v>
      </c>
      <c r="F71" s="149">
        <f>+B71+C71+D71+E71</f>
        <v>140000000</v>
      </c>
      <c r="G71" s="6"/>
    </row>
    <row r="72" spans="1:7" ht="19.5" customHeight="1">
      <c r="A72" s="140" t="s">
        <v>43</v>
      </c>
      <c r="B72" s="136">
        <v>150000000</v>
      </c>
      <c r="C72" s="136">
        <v>400000000</v>
      </c>
      <c r="D72" s="136">
        <v>300000000</v>
      </c>
      <c r="E72" s="136">
        <v>200000000</v>
      </c>
      <c r="F72" s="149">
        <f>+B72+C72+D72+E72</f>
        <v>1050000000</v>
      </c>
      <c r="G72" s="6"/>
    </row>
    <row r="73" spans="1:7" ht="19.5" customHeight="1">
      <c r="A73" s="140" t="s">
        <v>627</v>
      </c>
      <c r="B73" s="136">
        <v>40000000</v>
      </c>
      <c r="C73" s="136">
        <v>80000000</v>
      </c>
      <c r="D73" s="136">
        <v>100000000</v>
      </c>
      <c r="E73" s="136">
        <v>50000000</v>
      </c>
      <c r="F73" s="149">
        <f>+B73+C73+D73+E73</f>
        <v>270000000</v>
      </c>
      <c r="G73" s="6"/>
    </row>
    <row r="74" spans="1:7" ht="19.5" customHeight="1" thickBot="1">
      <c r="A74" s="179" t="s">
        <v>620</v>
      </c>
      <c r="B74" s="161">
        <v>100000000</v>
      </c>
      <c r="C74" s="161">
        <v>200000000</v>
      </c>
      <c r="D74" s="161">
        <v>150000000</v>
      </c>
      <c r="E74" s="161">
        <v>100000000</v>
      </c>
      <c r="F74" s="193">
        <f>+B74+C74+D74+E74</f>
        <v>550000000</v>
      </c>
      <c r="G74" s="6"/>
    </row>
    <row r="75" spans="1:7" ht="26.25" customHeight="1" thickBot="1">
      <c r="A75" s="194" t="s">
        <v>513</v>
      </c>
      <c r="B75" s="180">
        <f>SUM(B76:B78)</f>
        <v>230000000</v>
      </c>
      <c r="C75" s="180">
        <f>SUM(C76:C78)</f>
        <v>450000000</v>
      </c>
      <c r="D75" s="180">
        <f>SUM(D76:D78)</f>
        <v>350000000</v>
      </c>
      <c r="E75" s="180">
        <f>SUM(E76:E78)</f>
        <v>190000000</v>
      </c>
      <c r="F75" s="181">
        <f>+F76+F77+F78</f>
        <v>1220000000</v>
      </c>
      <c r="G75" s="6"/>
    </row>
    <row r="76" spans="1:7" ht="19.5" customHeight="1">
      <c r="A76" s="154" t="s">
        <v>514</v>
      </c>
      <c r="B76" s="183">
        <v>50000000</v>
      </c>
      <c r="C76" s="183">
        <v>100000000</v>
      </c>
      <c r="D76" s="183">
        <v>100000000</v>
      </c>
      <c r="E76" s="183">
        <v>100000000</v>
      </c>
      <c r="F76" s="192">
        <f>SUM(B76:E76)</f>
        <v>350000000</v>
      </c>
      <c r="G76" s="6"/>
    </row>
    <row r="77" spans="1:7" ht="19.5" customHeight="1">
      <c r="A77" s="132" t="s">
        <v>515</v>
      </c>
      <c r="B77" s="136">
        <v>30000000</v>
      </c>
      <c r="C77" s="136">
        <v>200000000</v>
      </c>
      <c r="D77" s="136">
        <v>150000000</v>
      </c>
      <c r="E77" s="136">
        <v>40000000</v>
      </c>
      <c r="F77" s="149">
        <f>SUM(B77:E77)</f>
        <v>420000000</v>
      </c>
      <c r="G77" s="6"/>
    </row>
    <row r="78" spans="1:7" ht="19.5" customHeight="1" thickBot="1">
      <c r="A78" s="160" t="s">
        <v>516</v>
      </c>
      <c r="B78" s="161">
        <v>150000000</v>
      </c>
      <c r="C78" s="161">
        <v>150000000</v>
      </c>
      <c r="D78" s="161">
        <v>100000000</v>
      </c>
      <c r="E78" s="161">
        <v>50000000</v>
      </c>
      <c r="F78" s="193">
        <f>SUM(B78:E78)</f>
        <v>450000000</v>
      </c>
      <c r="G78" s="6"/>
    </row>
    <row r="79" spans="1:7" ht="19.5" customHeight="1" thickBot="1">
      <c r="A79" s="195" t="s">
        <v>34</v>
      </c>
      <c r="B79" s="196">
        <f>+B7+B13+B20+B25+B29+B33+B47+B53+B60+B63+B66+B69+B75</f>
        <v>6235000000</v>
      </c>
      <c r="C79" s="196">
        <f>+C7+C13+C20+C25+C29+C33+C47+C53+C60+C63+C66+C69+C75</f>
        <v>15622825000</v>
      </c>
      <c r="D79" s="196">
        <f>+D7+D13+D20+D25+D29+D33+D47+D53+D60+D63+D66+D69+D75</f>
        <v>14350701644</v>
      </c>
      <c r="E79" s="196">
        <f>+E7+E13+E20+E25+E29+E33+E47+E53+E60+E63+E66+E69+E75</f>
        <v>8774978130.51088</v>
      </c>
      <c r="F79" s="197">
        <f>+F7+F13+F20+F25+F29+F33+F47+F53+F60+F63+F66+F69+F75</f>
        <v>44983504774.51088</v>
      </c>
      <c r="G79" s="6"/>
    </row>
    <row r="80" spans="1:7" ht="15.75" thickTop="1">
      <c r="A80" s="3"/>
      <c r="B80" s="3"/>
      <c r="C80" s="6"/>
      <c r="D80" s="6"/>
      <c r="E80" s="6"/>
      <c r="F80" s="6"/>
      <c r="G80" s="6"/>
    </row>
    <row r="81" spans="1:7" ht="15">
      <c r="A81" s="3"/>
      <c r="B81" s="3"/>
      <c r="C81" s="6"/>
      <c r="D81" s="6"/>
      <c r="E81" s="6"/>
      <c r="F81" s="6"/>
      <c r="G81" s="6"/>
    </row>
    <row r="82" spans="1:7" ht="15">
      <c r="A82" s="3"/>
      <c r="B82" s="3"/>
      <c r="C82" s="6"/>
      <c r="D82" s="6"/>
      <c r="E82" s="6"/>
      <c r="F82" s="6"/>
      <c r="G82" s="6"/>
    </row>
    <row r="83" spans="3:7" ht="15">
      <c r="C83" s="6"/>
      <c r="D83" s="6"/>
      <c r="E83" s="6"/>
      <c r="F83" s="6"/>
      <c r="G83" s="6"/>
    </row>
    <row r="84" spans="3:7" ht="15">
      <c r="C84" s="6"/>
      <c r="D84" s="6"/>
      <c r="E84" s="6"/>
      <c r="F84" s="6"/>
      <c r="G84" s="6"/>
    </row>
    <row r="85" spans="3:7" ht="15">
      <c r="C85" s="6"/>
      <c r="D85" s="6"/>
      <c r="E85" s="6"/>
      <c r="F85" s="6"/>
      <c r="G85" s="6"/>
    </row>
    <row r="86" spans="3:7" ht="15">
      <c r="C86" s="6"/>
      <c r="D86" s="6"/>
      <c r="E86" s="6"/>
      <c r="F86" s="6"/>
      <c r="G86" s="6"/>
    </row>
    <row r="87" spans="3:7" ht="15">
      <c r="C87" s="6"/>
      <c r="D87" s="6"/>
      <c r="E87" s="6"/>
      <c r="F87" s="6"/>
      <c r="G87" s="6"/>
    </row>
  </sheetData>
  <sheetProtection/>
  <mergeCells count="5">
    <mergeCell ref="A5:F5"/>
    <mergeCell ref="A2:F2"/>
    <mergeCell ref="A4:F4"/>
    <mergeCell ref="A1:F1"/>
    <mergeCell ref="A3:F3"/>
  </mergeCells>
  <printOptions/>
  <pageMargins left="0.5905511811023623" right="0.3937007874015748" top="0.7874015748031497" bottom="0.3937007874015748" header="0.31496062992125984" footer="0.31496062992125984"/>
  <pageSetup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4"/>
  <sheetViews>
    <sheetView zoomScalePageLayoutView="0" workbookViewId="0" topLeftCell="A20">
      <selection activeCell="B7" sqref="B7:B24"/>
    </sheetView>
  </sheetViews>
  <sheetFormatPr defaultColWidth="11.421875" defaultRowHeight="15"/>
  <cols>
    <col min="1" max="1" width="9.00390625" style="111" customWidth="1"/>
    <col min="2" max="2" width="8.140625" style="110" customWidth="1"/>
    <col min="3" max="3" width="25.8515625" style="0" customWidth="1"/>
    <col min="4" max="4" width="44.57421875" style="0" customWidth="1"/>
    <col min="5" max="5" width="14.421875" style="0" customWidth="1"/>
    <col min="6" max="6" width="15.57421875" style="0" customWidth="1"/>
    <col min="7" max="7" width="14.421875" style="0" customWidth="1"/>
    <col min="8" max="8" width="17.8515625" style="0" bestFit="1" customWidth="1"/>
    <col min="9" max="9" width="9.421875" style="0" customWidth="1"/>
    <col min="10" max="10" width="33.28125" style="0" customWidth="1"/>
    <col min="11" max="13" width="14.00390625" style="0" customWidth="1"/>
    <col min="14" max="14" width="8.7109375" style="0" customWidth="1"/>
    <col min="15" max="15" width="24.421875" style="0" customWidth="1"/>
    <col min="16" max="16" width="13.140625" style="0" customWidth="1"/>
  </cols>
  <sheetData>
    <row r="1" spans="1:9" ht="20.25" customHeight="1">
      <c r="A1" s="542" t="s">
        <v>82</v>
      </c>
      <c r="B1" s="542"/>
      <c r="C1" s="542"/>
      <c r="D1" s="542"/>
      <c r="E1" s="542"/>
      <c r="F1" s="542"/>
      <c r="G1" s="542"/>
      <c r="H1" s="6"/>
      <c r="I1" s="6"/>
    </row>
    <row r="2" spans="1:9" ht="15.75" thickBot="1">
      <c r="A2" s="579" t="s">
        <v>531</v>
      </c>
      <c r="B2" s="579"/>
      <c r="C2" s="579"/>
      <c r="D2" s="579"/>
      <c r="E2" s="579"/>
      <c r="F2" s="579"/>
      <c r="G2" s="579"/>
      <c r="H2" s="6"/>
      <c r="I2" s="6"/>
    </row>
    <row r="3" spans="1:9" ht="35.25" thickBot="1" thickTop="1">
      <c r="A3" s="114" t="s">
        <v>526</v>
      </c>
      <c r="B3" s="113" t="s">
        <v>527</v>
      </c>
      <c r="C3" s="76" t="s">
        <v>64</v>
      </c>
      <c r="D3" s="76" t="s">
        <v>528</v>
      </c>
      <c r="E3" s="115">
        <v>2012</v>
      </c>
      <c r="F3" s="115"/>
      <c r="G3" s="115"/>
      <c r="H3" s="6"/>
      <c r="I3" s="6"/>
    </row>
    <row r="4" spans="1:10" ht="16.5" customHeight="1" thickBot="1">
      <c r="A4" s="608" t="s">
        <v>551</v>
      </c>
      <c r="B4" s="618" t="s">
        <v>65</v>
      </c>
      <c r="C4" s="619"/>
      <c r="D4" s="620"/>
      <c r="E4" s="116">
        <f>+E5+E107+E157+E193+E221</f>
        <v>21050347070.7</v>
      </c>
      <c r="F4" s="397">
        <v>15942266347.420002</v>
      </c>
      <c r="G4" s="399">
        <f>+F4/E4</f>
        <v>0.7573398335845046</v>
      </c>
      <c r="H4" s="13"/>
      <c r="J4" s="14"/>
    </row>
    <row r="5" spans="1:15" ht="15.75" customHeight="1">
      <c r="A5" s="609"/>
      <c r="B5" s="621" t="s">
        <v>530</v>
      </c>
      <c r="C5" s="622"/>
      <c r="D5" s="623"/>
      <c r="E5" s="117">
        <f>+E7+E26+E48+E74+E78</f>
        <v>13666319441.2</v>
      </c>
      <c r="F5" s="117"/>
      <c r="G5" s="403">
        <f aca="true" t="shared" si="0" ref="G5:G37">+F5/E5</f>
        <v>0</v>
      </c>
      <c r="I5" s="396" t="s">
        <v>101</v>
      </c>
      <c r="J5" s="397">
        <v>879114254.69</v>
      </c>
      <c r="K5" s="397">
        <v>801597846</v>
      </c>
      <c r="L5" s="397">
        <v>720522566</v>
      </c>
      <c r="M5" s="397">
        <v>432266772</v>
      </c>
      <c r="N5" s="14">
        <f>+J5-K5</f>
        <v>77516408.69000006</v>
      </c>
      <c r="O5" s="14">
        <f>+J5-L5</f>
        <v>158591688.69000006</v>
      </c>
    </row>
    <row r="6" spans="1:13" ht="15.75" customHeight="1">
      <c r="A6" s="609"/>
      <c r="B6" s="301"/>
      <c r="C6" s="302"/>
      <c r="D6" s="302"/>
      <c r="E6" s="303">
        <f>+E5/E4*100</f>
        <v>64.92206230757195</v>
      </c>
      <c r="F6" s="303"/>
      <c r="G6" s="404">
        <f t="shared" si="0"/>
        <v>0</v>
      </c>
      <c r="I6" s="396"/>
      <c r="J6" s="398"/>
      <c r="K6" s="397"/>
      <c r="L6" s="397"/>
      <c r="M6" s="397"/>
    </row>
    <row r="7" spans="1:13" ht="15.75" customHeight="1">
      <c r="A7" s="609"/>
      <c r="B7" s="624" t="s">
        <v>519</v>
      </c>
      <c r="C7" s="611" t="s">
        <v>535</v>
      </c>
      <c r="D7" s="109" t="s">
        <v>553</v>
      </c>
      <c r="E7" s="118">
        <f>+E11+E13+E16+E20+E22+E24</f>
        <v>9920736141.2</v>
      </c>
      <c r="F7" s="400">
        <v>10818859690.51</v>
      </c>
      <c r="G7" s="402">
        <f t="shared" si="0"/>
        <v>1.0905299300905873</v>
      </c>
      <c r="H7" s="214"/>
      <c r="I7" s="405" t="s">
        <v>162</v>
      </c>
      <c r="J7" s="405" t="s">
        <v>163</v>
      </c>
      <c r="K7" s="406">
        <v>10818859690.51</v>
      </c>
      <c r="L7" s="406">
        <v>10480386786.820002</v>
      </c>
      <c r="M7" s="406">
        <f aca="true" t="shared" si="1" ref="M7:M36">+K7-L7</f>
        <v>338472903.6899986</v>
      </c>
    </row>
    <row r="8" spans="1:13" ht="15.75" customHeight="1">
      <c r="A8" s="609"/>
      <c r="B8" s="549"/>
      <c r="C8" s="551"/>
      <c r="D8" s="109" t="s">
        <v>651</v>
      </c>
      <c r="E8" s="304">
        <f>+E7/E5*100</f>
        <v>72.59259659401674</v>
      </c>
      <c r="F8" s="401"/>
      <c r="G8" s="402">
        <f t="shared" si="0"/>
        <v>0</v>
      </c>
      <c r="H8" s="214"/>
      <c r="I8" s="407"/>
      <c r="J8" s="407"/>
      <c r="K8" s="408" t="e">
        <f>+K7/#REF!</f>
        <v>#REF!</v>
      </c>
      <c r="L8" s="408"/>
      <c r="M8" s="406" t="e">
        <f t="shared" si="1"/>
        <v>#REF!</v>
      </c>
    </row>
    <row r="9" spans="1:13" ht="15.75" customHeight="1">
      <c r="A9" s="609"/>
      <c r="B9" s="549"/>
      <c r="C9" s="551"/>
      <c r="D9" s="305" t="s">
        <v>650</v>
      </c>
      <c r="E9" s="307">
        <f>+E11+E13</f>
        <v>9370736141.2</v>
      </c>
      <c r="F9" s="307"/>
      <c r="G9" s="402">
        <f t="shared" si="0"/>
        <v>0</v>
      </c>
      <c r="H9" s="214"/>
      <c r="I9" s="405" t="s">
        <v>164</v>
      </c>
      <c r="J9" s="405" t="s">
        <v>165</v>
      </c>
      <c r="K9" s="406">
        <v>4368597921</v>
      </c>
      <c r="L9" s="406">
        <v>4368597921</v>
      </c>
      <c r="M9" s="406">
        <f t="shared" si="1"/>
        <v>0</v>
      </c>
    </row>
    <row r="10" spans="1:13" ht="15.75" customHeight="1">
      <c r="A10" s="609"/>
      <c r="B10" s="549"/>
      <c r="C10" s="551"/>
      <c r="D10" s="305"/>
      <c r="E10" s="306">
        <f>+E9/E7*100</f>
        <v>94.4560565650376</v>
      </c>
      <c r="F10" s="306"/>
      <c r="G10" s="402">
        <f t="shared" si="0"/>
        <v>0</v>
      </c>
      <c r="H10" s="214"/>
      <c r="I10" s="405" t="s">
        <v>166</v>
      </c>
      <c r="J10" s="405" t="s">
        <v>167</v>
      </c>
      <c r="K10" s="406">
        <v>4368597921</v>
      </c>
      <c r="L10" s="406">
        <v>4368597921</v>
      </c>
      <c r="M10" s="406">
        <f t="shared" si="1"/>
        <v>0</v>
      </c>
    </row>
    <row r="11" spans="1:13" ht="27" customHeight="1">
      <c r="A11" s="609"/>
      <c r="B11" s="549"/>
      <c r="C11" s="551"/>
      <c r="D11" s="309" t="s">
        <v>538</v>
      </c>
      <c r="E11" s="310">
        <f>+'PLAN FINANCIERO'!B20+'recursos de Gestión '!B14</f>
        <v>225627354</v>
      </c>
      <c r="F11" s="310"/>
      <c r="G11" s="402">
        <f t="shared" si="0"/>
        <v>0</v>
      </c>
      <c r="I11" s="405" t="s">
        <v>168</v>
      </c>
      <c r="J11" s="405" t="s">
        <v>169</v>
      </c>
      <c r="K11" s="406">
        <v>4368597921</v>
      </c>
      <c r="L11" s="406">
        <v>4368597921</v>
      </c>
      <c r="M11" s="406">
        <f t="shared" si="1"/>
        <v>0</v>
      </c>
    </row>
    <row r="12" spans="1:13" ht="27" customHeight="1">
      <c r="A12" s="609"/>
      <c r="B12" s="549"/>
      <c r="C12" s="551"/>
      <c r="D12" s="309" t="s">
        <v>651</v>
      </c>
      <c r="E12" s="311">
        <f>+E11/E9*100</f>
        <v>2.407786865409557</v>
      </c>
      <c r="F12" s="311"/>
      <c r="G12" s="402">
        <f t="shared" si="0"/>
        <v>0</v>
      </c>
      <c r="I12" s="405" t="s">
        <v>170</v>
      </c>
      <c r="J12" s="405" t="s">
        <v>171</v>
      </c>
      <c r="K12" s="406">
        <v>0</v>
      </c>
      <c r="L12" s="406">
        <v>0</v>
      </c>
      <c r="M12" s="406">
        <f t="shared" si="1"/>
        <v>0</v>
      </c>
    </row>
    <row r="13" spans="1:13" ht="27" customHeight="1">
      <c r="A13" s="609"/>
      <c r="B13" s="549"/>
      <c r="C13" s="612"/>
      <c r="D13" s="312" t="s">
        <v>539</v>
      </c>
      <c r="E13" s="313">
        <f>+'GASTOS E INVERSION SIN GESTION'!C55+'GASTOS E INVERSION SIN GESTION'!C51+'GASTOS E INVERSION SIN GESTION'!C47+'recursos de Gestión '!B15</f>
        <v>9145108787.2</v>
      </c>
      <c r="F13" s="313">
        <v>4368597921</v>
      </c>
      <c r="G13" s="402">
        <f t="shared" si="0"/>
        <v>0.47769775326396674</v>
      </c>
      <c r="I13" s="405" t="s">
        <v>671</v>
      </c>
      <c r="J13" s="405" t="s">
        <v>672</v>
      </c>
      <c r="K13" s="406">
        <v>452124156.53999996</v>
      </c>
      <c r="L13" s="406">
        <v>144898452.85000002</v>
      </c>
      <c r="M13" s="406">
        <f t="shared" si="1"/>
        <v>307225703.68999994</v>
      </c>
    </row>
    <row r="14" spans="1:13" ht="27" customHeight="1">
      <c r="A14" s="609"/>
      <c r="B14" s="549"/>
      <c r="C14" s="287"/>
      <c r="D14" s="312" t="s">
        <v>651</v>
      </c>
      <c r="E14" s="314">
        <f>+E13/E9*100</f>
        <v>97.59221313459044</v>
      </c>
      <c r="F14" s="314"/>
      <c r="G14" s="402">
        <f t="shared" si="0"/>
        <v>0</v>
      </c>
      <c r="I14" s="405" t="s">
        <v>673</v>
      </c>
      <c r="J14" s="405" t="s">
        <v>674</v>
      </c>
      <c r="K14" s="406">
        <v>107206926.56</v>
      </c>
      <c r="L14" s="406">
        <v>107206926.56</v>
      </c>
      <c r="M14" s="406">
        <f t="shared" si="1"/>
        <v>0</v>
      </c>
    </row>
    <row r="15" spans="1:13" ht="27" customHeight="1">
      <c r="A15" s="609"/>
      <c r="B15" s="549"/>
      <c r="C15" s="600" t="s">
        <v>653</v>
      </c>
      <c r="D15" s="106" t="s">
        <v>652</v>
      </c>
      <c r="E15" s="278">
        <f>+E16</f>
        <v>150000000</v>
      </c>
      <c r="F15" s="278"/>
      <c r="G15" s="402">
        <f t="shared" si="0"/>
        <v>0</v>
      </c>
      <c r="I15" s="405" t="s">
        <v>675</v>
      </c>
      <c r="J15" s="405" t="s">
        <v>676</v>
      </c>
      <c r="K15" s="406">
        <v>8026470.29</v>
      </c>
      <c r="L15" s="406">
        <v>8026470.29</v>
      </c>
      <c r="M15" s="406">
        <f t="shared" si="1"/>
        <v>0</v>
      </c>
    </row>
    <row r="16" spans="1:13" ht="35.25" customHeight="1">
      <c r="A16" s="609"/>
      <c r="B16" s="549"/>
      <c r="C16" s="601"/>
      <c r="D16" s="315" t="s">
        <v>552</v>
      </c>
      <c r="E16" s="316">
        <f>+'recursos de Gestión '!B16</f>
        <v>150000000</v>
      </c>
      <c r="F16" s="316"/>
      <c r="G16" s="402">
        <f t="shared" si="0"/>
        <v>0</v>
      </c>
      <c r="I16" s="405" t="s">
        <v>677</v>
      </c>
      <c r="J16" s="405" t="s">
        <v>678</v>
      </c>
      <c r="K16" s="406">
        <v>29665056</v>
      </c>
      <c r="L16" s="406">
        <v>29665056</v>
      </c>
      <c r="M16" s="406">
        <f t="shared" si="1"/>
        <v>0</v>
      </c>
    </row>
    <row r="17" spans="1:13" ht="35.25" customHeight="1">
      <c r="A17" s="609"/>
      <c r="B17" s="549"/>
      <c r="C17" s="308"/>
      <c r="D17" s="315" t="s">
        <v>651</v>
      </c>
      <c r="E17" s="317">
        <f>+E16/E7*100</f>
        <v>1.5119845731715649</v>
      </c>
      <c r="F17" s="317"/>
      <c r="G17" s="402">
        <f t="shared" si="0"/>
        <v>0</v>
      </c>
      <c r="I17" s="405" t="s">
        <v>679</v>
      </c>
      <c r="J17" s="405" t="s">
        <v>680</v>
      </c>
      <c r="K17" s="406">
        <v>20915677.04</v>
      </c>
      <c r="L17" s="406">
        <v>0</v>
      </c>
      <c r="M17" s="406">
        <f t="shared" si="1"/>
        <v>20915677.04</v>
      </c>
    </row>
    <row r="18" spans="1:13" ht="35.25" customHeight="1">
      <c r="A18" s="609"/>
      <c r="B18" s="549"/>
      <c r="C18" s="602" t="s">
        <v>654</v>
      </c>
      <c r="D18" s="312" t="s">
        <v>655</v>
      </c>
      <c r="E18" s="313">
        <f>+E20+E22+E24</f>
        <v>400000000</v>
      </c>
      <c r="F18" s="313"/>
      <c r="G18" s="402">
        <f t="shared" si="0"/>
        <v>0</v>
      </c>
      <c r="I18" s="405" t="s">
        <v>681</v>
      </c>
      <c r="J18" s="405" t="s">
        <v>682</v>
      </c>
      <c r="K18" s="406">
        <v>8007503.56</v>
      </c>
      <c r="L18" s="406">
        <v>0</v>
      </c>
      <c r="M18" s="406">
        <f t="shared" si="1"/>
        <v>8007503.56</v>
      </c>
    </row>
    <row r="19" spans="1:13" ht="35.25" customHeight="1">
      <c r="A19" s="609"/>
      <c r="B19" s="549"/>
      <c r="C19" s="603"/>
      <c r="D19" s="312" t="s">
        <v>651</v>
      </c>
      <c r="E19" s="314">
        <f>+E18/E7*100</f>
        <v>4.031958861790839</v>
      </c>
      <c r="F19" s="314"/>
      <c r="G19" s="402">
        <f t="shared" si="0"/>
        <v>0</v>
      </c>
      <c r="I19" s="405" t="s">
        <v>683</v>
      </c>
      <c r="J19" s="405" t="s">
        <v>684</v>
      </c>
      <c r="K19" s="406">
        <v>278302523.09</v>
      </c>
      <c r="L19" s="406">
        <v>0</v>
      </c>
      <c r="M19" s="406">
        <f t="shared" si="1"/>
        <v>278302523.09</v>
      </c>
    </row>
    <row r="20" spans="1:13" ht="27" customHeight="1">
      <c r="A20" s="609"/>
      <c r="B20" s="549"/>
      <c r="C20" s="603"/>
      <c r="D20" s="315" t="s">
        <v>540</v>
      </c>
      <c r="E20" s="318">
        <f>+'recursos de Gestión '!B17</f>
        <v>100000000</v>
      </c>
      <c r="F20" s="318"/>
      <c r="G20" s="402">
        <f t="shared" si="0"/>
        <v>0</v>
      </c>
      <c r="I20" s="405" t="s">
        <v>172</v>
      </c>
      <c r="J20" s="405" t="s">
        <v>173</v>
      </c>
      <c r="K20" s="406">
        <v>31247200</v>
      </c>
      <c r="L20" s="406">
        <v>0</v>
      </c>
      <c r="M20" s="406">
        <f t="shared" si="1"/>
        <v>31247200</v>
      </c>
    </row>
    <row r="21" spans="1:13" ht="27" customHeight="1">
      <c r="A21" s="609"/>
      <c r="B21" s="549"/>
      <c r="C21" s="603"/>
      <c r="D21" s="315" t="s">
        <v>651</v>
      </c>
      <c r="E21" s="319">
        <f>+E20/E18*100</f>
        <v>25</v>
      </c>
      <c r="F21" s="319"/>
      <c r="G21" s="402">
        <f t="shared" si="0"/>
        <v>0</v>
      </c>
      <c r="I21" s="405" t="s">
        <v>174</v>
      </c>
      <c r="J21" s="405" t="s">
        <v>169</v>
      </c>
      <c r="K21" s="406">
        <v>0</v>
      </c>
      <c r="L21" s="406">
        <v>0</v>
      </c>
      <c r="M21" s="406">
        <f t="shared" si="1"/>
        <v>0</v>
      </c>
    </row>
    <row r="22" spans="1:13" ht="27" customHeight="1">
      <c r="A22" s="609"/>
      <c r="B22" s="549"/>
      <c r="C22" s="603"/>
      <c r="D22" s="312" t="s">
        <v>541</v>
      </c>
      <c r="E22" s="320">
        <f>+'recursos de Gestión '!B18</f>
        <v>150000000</v>
      </c>
      <c r="F22" s="320"/>
      <c r="G22" s="402">
        <f t="shared" si="0"/>
        <v>0</v>
      </c>
      <c r="I22" s="405" t="s">
        <v>175</v>
      </c>
      <c r="J22" s="405" t="s">
        <v>176</v>
      </c>
      <c r="K22" s="406">
        <v>10401900</v>
      </c>
      <c r="L22" s="406">
        <v>0</v>
      </c>
      <c r="M22" s="406">
        <f t="shared" si="1"/>
        <v>10401900</v>
      </c>
    </row>
    <row r="23" spans="1:13" ht="27" customHeight="1">
      <c r="A23" s="609"/>
      <c r="B23" s="549"/>
      <c r="C23" s="603"/>
      <c r="D23" s="321" t="s">
        <v>651</v>
      </c>
      <c r="E23" s="324">
        <f>+E22/E18*100</f>
        <v>37.5</v>
      </c>
      <c r="F23" s="324"/>
      <c r="G23" s="402">
        <f t="shared" si="0"/>
        <v>0</v>
      </c>
      <c r="I23" s="405" t="s">
        <v>177</v>
      </c>
      <c r="J23" s="405" t="s">
        <v>178</v>
      </c>
      <c r="K23" s="406">
        <v>20845300</v>
      </c>
      <c r="L23" s="406">
        <v>0</v>
      </c>
      <c r="M23" s="406">
        <f t="shared" si="1"/>
        <v>20845300</v>
      </c>
    </row>
    <row r="24" spans="1:13" ht="32.25" customHeight="1">
      <c r="A24" s="609"/>
      <c r="B24" s="561"/>
      <c r="C24" s="603"/>
      <c r="D24" s="309" t="s">
        <v>542</v>
      </c>
      <c r="E24" s="322">
        <f>+'recursos de Gestión '!B19</f>
        <v>150000000</v>
      </c>
      <c r="F24" s="322"/>
      <c r="G24" s="402">
        <f t="shared" si="0"/>
        <v>0</v>
      </c>
      <c r="I24" s="405" t="s">
        <v>179</v>
      </c>
      <c r="J24" s="405" t="s">
        <v>180</v>
      </c>
      <c r="K24" s="406">
        <v>5788572637.5</v>
      </c>
      <c r="L24" s="406">
        <v>5788572637.5</v>
      </c>
      <c r="M24" s="406">
        <f t="shared" si="1"/>
        <v>0</v>
      </c>
    </row>
    <row r="25" spans="1:13" ht="32.25" customHeight="1">
      <c r="A25" s="609"/>
      <c r="B25" s="285"/>
      <c r="C25" s="286"/>
      <c r="D25" s="309" t="s">
        <v>651</v>
      </c>
      <c r="E25" s="325">
        <f>+E24/E18*100</f>
        <v>37.5</v>
      </c>
      <c r="F25" s="325"/>
      <c r="G25" s="402">
        <f t="shared" si="0"/>
        <v>0</v>
      </c>
      <c r="H25" s="14"/>
      <c r="I25" s="405" t="s">
        <v>181</v>
      </c>
      <c r="J25" s="405" t="s">
        <v>182</v>
      </c>
      <c r="K25" s="406">
        <v>29266666</v>
      </c>
      <c r="L25" s="406">
        <v>29266666</v>
      </c>
      <c r="M25" s="406">
        <f t="shared" si="1"/>
        <v>0</v>
      </c>
    </row>
    <row r="26" spans="1:18" ht="18.75" customHeight="1">
      <c r="A26" s="609"/>
      <c r="B26" s="548" t="s">
        <v>529</v>
      </c>
      <c r="C26" s="551" t="s">
        <v>536</v>
      </c>
      <c r="D26" s="107" t="s">
        <v>554</v>
      </c>
      <c r="E26" s="119">
        <f>+E30+E32+E34+E36+E38</f>
        <v>1681313458</v>
      </c>
      <c r="F26" s="119">
        <v>1066744549</v>
      </c>
      <c r="G26" s="402">
        <f t="shared" si="0"/>
        <v>0.6344709512222318</v>
      </c>
      <c r="H26" s="13"/>
      <c r="I26" s="405" t="s">
        <v>183</v>
      </c>
      <c r="J26" s="405" t="s">
        <v>184</v>
      </c>
      <c r="K26" s="406">
        <v>4475738800.71</v>
      </c>
      <c r="L26" s="406">
        <v>4475738800.71</v>
      </c>
      <c r="M26" s="406">
        <f t="shared" si="1"/>
        <v>0</v>
      </c>
      <c r="N26" s="409" t="s">
        <v>100</v>
      </c>
      <c r="O26" s="409" t="s">
        <v>101</v>
      </c>
      <c r="P26" s="410">
        <f>879114254.69+P52</f>
        <v>1066744548.69</v>
      </c>
      <c r="Q26" s="410">
        <f>801597846+Q52</f>
        <v>970411304</v>
      </c>
      <c r="R26" s="410">
        <f aca="true" t="shared" si="2" ref="R26:R51">+P26-Q26</f>
        <v>96333244.69000006</v>
      </c>
    </row>
    <row r="27" spans="1:18" ht="18.75" customHeight="1">
      <c r="A27" s="609"/>
      <c r="B27" s="549"/>
      <c r="C27" s="551"/>
      <c r="D27" s="107" t="s">
        <v>651</v>
      </c>
      <c r="E27" s="326">
        <f>+E26/E5*100</f>
        <v>12.30260616425609</v>
      </c>
      <c r="F27" s="326"/>
      <c r="G27" s="402">
        <f t="shared" si="0"/>
        <v>0</v>
      </c>
      <c r="H27" s="13"/>
      <c r="I27" s="405" t="s">
        <v>185</v>
      </c>
      <c r="J27" s="405" t="s">
        <v>186</v>
      </c>
      <c r="K27" s="406">
        <v>60000000</v>
      </c>
      <c r="L27" s="406">
        <v>60000000</v>
      </c>
      <c r="M27" s="406">
        <f t="shared" si="1"/>
        <v>0</v>
      </c>
      <c r="N27" s="409"/>
      <c r="O27" s="409"/>
      <c r="P27" s="411" t="e">
        <f>+P26/#REF!</f>
        <v>#REF!</v>
      </c>
      <c r="Q27" s="410"/>
      <c r="R27" s="410" t="e">
        <f t="shared" si="2"/>
        <v>#REF!</v>
      </c>
    </row>
    <row r="28" spans="1:18" ht="18.75" customHeight="1">
      <c r="A28" s="609"/>
      <c r="B28" s="549"/>
      <c r="C28" s="551"/>
      <c r="D28" s="107" t="s">
        <v>649</v>
      </c>
      <c r="E28" s="328">
        <f>+E30+E32+E34+E36+E38</f>
        <v>1681313458</v>
      </c>
      <c r="F28" s="328"/>
      <c r="G28" s="402">
        <f t="shared" si="0"/>
        <v>0</v>
      </c>
      <c r="H28" s="13"/>
      <c r="I28" s="405" t="s">
        <v>187</v>
      </c>
      <c r="J28" s="405" t="s">
        <v>188</v>
      </c>
      <c r="K28" s="406">
        <v>754911093.29</v>
      </c>
      <c r="L28" s="406">
        <v>754911093.29</v>
      </c>
      <c r="M28" s="406">
        <f t="shared" si="1"/>
        <v>0</v>
      </c>
      <c r="N28" s="409" t="s">
        <v>102</v>
      </c>
      <c r="O28" s="409" t="s">
        <v>103</v>
      </c>
      <c r="P28" s="410">
        <v>879114254.69</v>
      </c>
      <c r="Q28" s="410">
        <v>801597846</v>
      </c>
      <c r="R28" s="410">
        <f t="shared" si="2"/>
        <v>77516408.69000006</v>
      </c>
    </row>
    <row r="29" spans="1:18" ht="18.75" customHeight="1">
      <c r="A29" s="609"/>
      <c r="B29" s="549"/>
      <c r="C29" s="551"/>
      <c r="D29" s="107"/>
      <c r="E29" s="327">
        <f>+E28/E26*100</f>
        <v>100</v>
      </c>
      <c r="F29" s="327"/>
      <c r="G29" s="402">
        <f t="shared" si="0"/>
        <v>0</v>
      </c>
      <c r="H29" s="13"/>
      <c r="I29" s="405" t="s">
        <v>189</v>
      </c>
      <c r="J29" s="405" t="s">
        <v>190</v>
      </c>
      <c r="K29" s="406">
        <v>468656077.5</v>
      </c>
      <c r="L29" s="406">
        <v>468656077.5</v>
      </c>
      <c r="M29" s="406">
        <f t="shared" si="1"/>
        <v>0</v>
      </c>
      <c r="N29" s="409" t="s">
        <v>104</v>
      </c>
      <c r="O29" s="409" t="s">
        <v>105</v>
      </c>
      <c r="P29" s="410">
        <v>0</v>
      </c>
      <c r="Q29" s="410">
        <v>0</v>
      </c>
      <c r="R29" s="410">
        <f t="shared" si="2"/>
        <v>0</v>
      </c>
    </row>
    <row r="30" spans="1:18" ht="43.5" customHeight="1">
      <c r="A30" s="609"/>
      <c r="B30" s="549"/>
      <c r="C30" s="551"/>
      <c r="D30" s="309" t="s">
        <v>556</v>
      </c>
      <c r="E30" s="330">
        <f>+'recursos de Gestión '!B8+'GASTOS E INVERSION SIN GESTION'!C17</f>
        <v>190000000</v>
      </c>
      <c r="F30" s="330">
        <v>30000000</v>
      </c>
      <c r="G30" s="402">
        <f t="shared" si="0"/>
        <v>0.15789473684210525</v>
      </c>
      <c r="I30" s="405" t="s">
        <v>685</v>
      </c>
      <c r="J30" s="405" t="s">
        <v>497</v>
      </c>
      <c r="K30" s="406">
        <v>0</v>
      </c>
      <c r="L30" s="406">
        <v>0</v>
      </c>
      <c r="M30" s="406">
        <f t="shared" si="1"/>
        <v>0</v>
      </c>
      <c r="N30" s="409" t="s">
        <v>106</v>
      </c>
      <c r="O30" s="409" t="s">
        <v>107</v>
      </c>
      <c r="P30" s="410">
        <v>0</v>
      </c>
      <c r="Q30" s="410">
        <v>0</v>
      </c>
      <c r="R30" s="410">
        <f t="shared" si="2"/>
        <v>0</v>
      </c>
    </row>
    <row r="31" spans="1:18" ht="43.5" customHeight="1">
      <c r="A31" s="609"/>
      <c r="B31" s="549"/>
      <c r="C31" s="551"/>
      <c r="D31" s="309"/>
      <c r="E31" s="311">
        <f>+E30/E28*100</f>
        <v>11.300688702391867</v>
      </c>
      <c r="F31" s="311"/>
      <c r="G31" s="402">
        <f t="shared" si="0"/>
        <v>0</v>
      </c>
      <c r="I31" s="405" t="s">
        <v>686</v>
      </c>
      <c r="J31" s="405" t="s">
        <v>498</v>
      </c>
      <c r="K31" s="406">
        <v>0</v>
      </c>
      <c r="L31" s="406">
        <v>0</v>
      </c>
      <c r="M31" s="406">
        <f t="shared" si="1"/>
        <v>0</v>
      </c>
      <c r="N31" s="409" t="s">
        <v>108</v>
      </c>
      <c r="O31" s="409" t="s">
        <v>109</v>
      </c>
      <c r="P31" s="412">
        <v>30000000</v>
      </c>
      <c r="Q31" s="410">
        <v>10420000</v>
      </c>
      <c r="R31" s="410">
        <f t="shared" si="2"/>
        <v>19580000</v>
      </c>
    </row>
    <row r="32" spans="1:18" ht="25.5" customHeight="1">
      <c r="A32" s="609"/>
      <c r="B32" s="549"/>
      <c r="C32" s="551"/>
      <c r="D32" s="312" t="s">
        <v>544</v>
      </c>
      <c r="E32" s="313">
        <f>+'recursos de Gestión '!B9+'GASTOS E INVERSION SIN GESTION'!C19</f>
        <v>460700000</v>
      </c>
      <c r="F32" s="313">
        <v>322814254.69</v>
      </c>
      <c r="G32" s="402">
        <f t="shared" si="0"/>
        <v>0.7007038304536575</v>
      </c>
      <c r="I32" s="405" t="s">
        <v>687</v>
      </c>
      <c r="J32" s="405" t="s">
        <v>688</v>
      </c>
      <c r="K32" s="406">
        <v>0</v>
      </c>
      <c r="L32" s="406">
        <v>0</v>
      </c>
      <c r="M32" s="406">
        <f t="shared" si="1"/>
        <v>0</v>
      </c>
      <c r="N32" s="409" t="s">
        <v>110</v>
      </c>
      <c r="O32" s="409" t="s">
        <v>111</v>
      </c>
      <c r="P32" s="412">
        <v>30000000</v>
      </c>
      <c r="Q32" s="410">
        <v>10420000</v>
      </c>
      <c r="R32" s="410">
        <f t="shared" si="2"/>
        <v>19580000</v>
      </c>
    </row>
    <row r="33" spans="1:18" ht="25.5" customHeight="1">
      <c r="A33" s="609"/>
      <c r="B33" s="549"/>
      <c r="C33" s="551"/>
      <c r="D33" s="312"/>
      <c r="E33" s="314">
        <f>+E32/E28*100</f>
        <v>27.401196237852275</v>
      </c>
      <c r="F33" s="314"/>
      <c r="G33" s="402">
        <f t="shared" si="0"/>
        <v>0</v>
      </c>
      <c r="I33" s="405" t="s">
        <v>689</v>
      </c>
      <c r="J33" s="405" t="s">
        <v>690</v>
      </c>
      <c r="K33" s="406">
        <v>0</v>
      </c>
      <c r="L33" s="406">
        <v>0</v>
      </c>
      <c r="M33" s="406">
        <f t="shared" si="1"/>
        <v>0</v>
      </c>
      <c r="N33" s="409" t="s">
        <v>112</v>
      </c>
      <c r="O33" s="409" t="s">
        <v>113</v>
      </c>
      <c r="P33" s="412">
        <v>322814254.69</v>
      </c>
      <c r="Q33" s="410">
        <v>292946144</v>
      </c>
      <c r="R33" s="410">
        <f t="shared" si="2"/>
        <v>29868110.689999998</v>
      </c>
    </row>
    <row r="34" spans="1:18" ht="25.5" customHeight="1">
      <c r="A34" s="609"/>
      <c r="B34" s="549"/>
      <c r="C34" s="551"/>
      <c r="D34" s="315" t="s">
        <v>555</v>
      </c>
      <c r="E34" s="316">
        <f>+'recursos de Gestión '!B10+'GASTOS E INVERSION SIN GESTION'!C25+'GASTOS E INVERSION SIN GESTION'!C34+'GASTOS E INVERSION SIN GESTION'!C42+'GASTOS E INVERSION SIN GESTION'!C44</f>
        <v>306800000</v>
      </c>
      <c r="F34" s="316">
        <f>108000000+2300000</f>
        <v>110300000</v>
      </c>
      <c r="G34" s="402">
        <f t="shared" si="0"/>
        <v>0.35951760104302477</v>
      </c>
      <c r="I34" s="405" t="s">
        <v>691</v>
      </c>
      <c r="J34" s="405" t="s">
        <v>692</v>
      </c>
      <c r="K34" s="406" t="s">
        <v>670</v>
      </c>
      <c r="L34" s="406">
        <v>0</v>
      </c>
      <c r="M34" s="406" t="e">
        <f t="shared" si="1"/>
        <v>#VALUE!</v>
      </c>
      <c r="N34" s="409" t="s">
        <v>114</v>
      </c>
      <c r="O34" s="409" t="s">
        <v>115</v>
      </c>
      <c r="P34" s="412">
        <v>250814254.69</v>
      </c>
      <c r="Q34" s="410">
        <v>220946144</v>
      </c>
      <c r="R34" s="410">
        <f t="shared" si="2"/>
        <v>29868110.689999998</v>
      </c>
    </row>
    <row r="35" spans="1:18" ht="25.5" customHeight="1">
      <c r="A35" s="609"/>
      <c r="B35" s="549"/>
      <c r="C35" s="551"/>
      <c r="D35" s="315"/>
      <c r="E35" s="317">
        <f>+E34/E28*100</f>
        <v>18.247638388914865</v>
      </c>
      <c r="F35" s="317"/>
      <c r="G35" s="402">
        <f t="shared" si="0"/>
        <v>0</v>
      </c>
      <c r="I35" s="405" t="s">
        <v>191</v>
      </c>
      <c r="J35" s="405" t="s">
        <v>192</v>
      </c>
      <c r="K35" s="406">
        <v>178317775.47</v>
      </c>
      <c r="L35" s="406">
        <v>178317775.47</v>
      </c>
      <c r="M35" s="406">
        <f t="shared" si="1"/>
        <v>0</v>
      </c>
      <c r="N35" s="409" t="s">
        <v>116</v>
      </c>
      <c r="O35" s="409" t="s">
        <v>117</v>
      </c>
      <c r="P35" s="412">
        <v>54000000</v>
      </c>
      <c r="Q35" s="410">
        <v>54000000</v>
      </c>
      <c r="R35" s="410">
        <f t="shared" si="2"/>
        <v>0</v>
      </c>
    </row>
    <row r="36" spans="1:18" ht="20.25" customHeight="1">
      <c r="A36" s="609"/>
      <c r="B36" s="549"/>
      <c r="C36" s="551"/>
      <c r="D36" s="312" t="s">
        <v>545</v>
      </c>
      <c r="E36" s="332">
        <f>+'recursos de Gestión '!B11+'GASTOS E INVERSION SIN GESTION'!C28+'GASTOS E INVERSION SIN GESTION'!C32+'GASTOS E INVERSION SIN GESTION'!C39</f>
        <v>673813458</v>
      </c>
      <c r="F36" s="332">
        <f>416000000+187630294</f>
        <v>603630294</v>
      </c>
      <c r="G36" s="402">
        <f t="shared" si="0"/>
        <v>0.8958418488578185</v>
      </c>
      <c r="I36" s="405" t="s">
        <v>193</v>
      </c>
      <c r="J36" s="405" t="s">
        <v>194</v>
      </c>
      <c r="K36" s="406">
        <v>178317775.47</v>
      </c>
      <c r="L36" s="406">
        <v>178317775.47</v>
      </c>
      <c r="M36" s="406">
        <f t="shared" si="1"/>
        <v>0</v>
      </c>
      <c r="N36" s="409" t="s">
        <v>118</v>
      </c>
      <c r="O36" s="409" t="s">
        <v>119</v>
      </c>
      <c r="P36" s="412">
        <v>5175000</v>
      </c>
      <c r="Q36" s="410">
        <v>5175000</v>
      </c>
      <c r="R36" s="410">
        <f t="shared" si="2"/>
        <v>0</v>
      </c>
    </row>
    <row r="37" spans="1:18" ht="20.25" customHeight="1">
      <c r="A37" s="609"/>
      <c r="B37" s="549"/>
      <c r="C37" s="551"/>
      <c r="D37" s="333"/>
      <c r="E37" s="334">
        <f>+E36/E28*100</f>
        <v>40.076611222843134</v>
      </c>
      <c r="F37" s="334"/>
      <c r="G37" s="402">
        <f t="shared" si="0"/>
        <v>0</v>
      </c>
      <c r="N37" s="409" t="s">
        <v>120</v>
      </c>
      <c r="O37" s="409" t="s">
        <v>121</v>
      </c>
      <c r="P37" s="412">
        <v>12825000</v>
      </c>
      <c r="Q37" s="410">
        <v>12825000</v>
      </c>
      <c r="R37" s="410">
        <f t="shared" si="2"/>
        <v>0</v>
      </c>
    </row>
    <row r="38" spans="1:18" ht="25.5" customHeight="1" thickBot="1">
      <c r="A38" s="610"/>
      <c r="B38" s="550"/>
      <c r="C38" s="552"/>
      <c r="D38" s="309" t="s">
        <v>537</v>
      </c>
      <c r="E38" s="323">
        <f>+'recursos de Gestión '!B12</f>
        <v>50000000</v>
      </c>
      <c r="F38" s="323"/>
      <c r="G38" s="323"/>
      <c r="N38" s="409" t="s">
        <v>122</v>
      </c>
      <c r="O38" s="409" t="s">
        <v>123</v>
      </c>
      <c r="P38" s="410">
        <v>2300000</v>
      </c>
      <c r="Q38" s="410">
        <v>0</v>
      </c>
      <c r="R38" s="410">
        <f t="shared" si="2"/>
        <v>2300000</v>
      </c>
    </row>
    <row r="39" spans="1:18" ht="25.5" customHeight="1" thickBot="1" thickTop="1">
      <c r="A39" s="224"/>
      <c r="B39" s="127"/>
      <c r="C39" s="125"/>
      <c r="D39" s="309"/>
      <c r="E39" s="335">
        <f>+E38/E28*100</f>
        <v>2.9738654479978592</v>
      </c>
      <c r="F39" s="335"/>
      <c r="G39" s="335"/>
      <c r="N39" s="409" t="s">
        <v>124</v>
      </c>
      <c r="O39" s="409" t="s">
        <v>125</v>
      </c>
      <c r="P39" s="410">
        <v>0</v>
      </c>
      <c r="Q39" s="410">
        <v>0</v>
      </c>
      <c r="R39" s="410">
        <f t="shared" si="2"/>
        <v>0</v>
      </c>
    </row>
    <row r="40" spans="1:18" ht="36" customHeight="1" thickTop="1">
      <c r="A40" s="607" t="s">
        <v>648</v>
      </c>
      <c r="B40" s="607"/>
      <c r="C40" s="607"/>
      <c r="D40" s="213"/>
      <c r="E40" s="105"/>
      <c r="F40" s="105"/>
      <c r="G40" s="105"/>
      <c r="N40" s="409" t="s">
        <v>126</v>
      </c>
      <c r="O40" s="409" t="s">
        <v>127</v>
      </c>
      <c r="P40" s="410">
        <v>2300000</v>
      </c>
      <c r="Q40" s="410">
        <v>0</v>
      </c>
      <c r="R40" s="410">
        <f t="shared" si="2"/>
        <v>2300000</v>
      </c>
    </row>
    <row r="41" spans="1:18" ht="36" customHeight="1">
      <c r="A41" s="212"/>
      <c r="B41" s="127"/>
      <c r="C41" s="125"/>
      <c r="D41" s="213"/>
      <c r="E41" s="105"/>
      <c r="F41" s="105"/>
      <c r="G41" s="105"/>
      <c r="N41" s="409" t="s">
        <v>128</v>
      </c>
      <c r="O41" s="409" t="s">
        <v>129</v>
      </c>
      <c r="P41" s="410">
        <v>416000000</v>
      </c>
      <c r="Q41" s="410">
        <v>415987750</v>
      </c>
      <c r="R41" s="410">
        <f t="shared" si="2"/>
        <v>12250</v>
      </c>
    </row>
    <row r="42" spans="1:18" ht="36" customHeight="1">
      <c r="A42" s="212"/>
      <c r="B42" s="127"/>
      <c r="C42" s="125"/>
      <c r="D42" s="213"/>
      <c r="E42" s="105"/>
      <c r="F42" s="105"/>
      <c r="G42" s="105"/>
      <c r="N42" s="409" t="s">
        <v>130</v>
      </c>
      <c r="O42" s="409" t="s">
        <v>131</v>
      </c>
      <c r="P42" s="410">
        <v>416000000</v>
      </c>
      <c r="Q42" s="410">
        <v>415987750</v>
      </c>
      <c r="R42" s="410">
        <f t="shared" si="2"/>
        <v>12250</v>
      </c>
    </row>
    <row r="43" spans="1:18" ht="36" customHeight="1">
      <c r="A43" s="212"/>
      <c r="B43" s="127"/>
      <c r="C43" s="125"/>
      <c r="D43" s="213"/>
      <c r="E43" s="105"/>
      <c r="F43" s="105"/>
      <c r="G43" s="105"/>
      <c r="N43" s="409" t="s">
        <v>132</v>
      </c>
      <c r="O43" s="409" t="s">
        <v>133</v>
      </c>
      <c r="P43" s="410">
        <v>0</v>
      </c>
      <c r="Q43" s="410">
        <v>0</v>
      </c>
      <c r="R43" s="410">
        <f t="shared" si="2"/>
        <v>0</v>
      </c>
    </row>
    <row r="44" spans="1:18" ht="19.5" customHeight="1">
      <c r="A44" s="212"/>
      <c r="B44" s="127"/>
      <c r="C44" s="125"/>
      <c r="D44" s="213"/>
      <c r="E44" s="105"/>
      <c r="F44" s="105"/>
      <c r="G44" s="105"/>
      <c r="N44" s="409" t="s">
        <v>134</v>
      </c>
      <c r="O44" s="409" t="s">
        <v>135</v>
      </c>
      <c r="P44" s="410">
        <v>0</v>
      </c>
      <c r="Q44" s="410">
        <v>0</v>
      </c>
      <c r="R44" s="410">
        <f t="shared" si="2"/>
        <v>0</v>
      </c>
    </row>
    <row r="45" spans="1:18" ht="15.75" customHeight="1">
      <c r="A45" s="542" t="s">
        <v>82</v>
      </c>
      <c r="B45" s="542"/>
      <c r="C45" s="542"/>
      <c r="D45" s="542"/>
      <c r="E45" s="542"/>
      <c r="F45" s="542"/>
      <c r="G45" s="542"/>
      <c r="N45" s="409" t="s">
        <v>136</v>
      </c>
      <c r="O45" s="409" t="s">
        <v>137</v>
      </c>
      <c r="P45" s="410">
        <v>108000000</v>
      </c>
      <c r="Q45" s="410">
        <v>82243952</v>
      </c>
      <c r="R45" s="410">
        <f t="shared" si="2"/>
        <v>25756048</v>
      </c>
    </row>
    <row r="46" spans="1:18" ht="20.25" customHeight="1" thickBot="1">
      <c r="A46" s="579" t="s">
        <v>531</v>
      </c>
      <c r="B46" s="579"/>
      <c r="C46" s="579"/>
      <c r="D46" s="579"/>
      <c r="E46" s="579"/>
      <c r="F46" s="579"/>
      <c r="G46" s="579"/>
      <c r="N46" s="409" t="s">
        <v>138</v>
      </c>
      <c r="O46" s="409" t="s">
        <v>139</v>
      </c>
      <c r="P46" s="410">
        <v>108000000</v>
      </c>
      <c r="Q46" s="410">
        <v>82243952</v>
      </c>
      <c r="R46" s="410">
        <f t="shared" si="2"/>
        <v>25756048</v>
      </c>
    </row>
    <row r="47" spans="1:18" ht="19.5" customHeight="1" thickBot="1" thickTop="1">
      <c r="A47" s="114" t="s">
        <v>526</v>
      </c>
      <c r="B47" s="113" t="s">
        <v>527</v>
      </c>
      <c r="C47" s="76" t="s">
        <v>64</v>
      </c>
      <c r="D47" s="76" t="s">
        <v>528</v>
      </c>
      <c r="E47" s="115">
        <v>2012</v>
      </c>
      <c r="F47" s="115"/>
      <c r="G47" s="115"/>
      <c r="N47" s="409" t="s">
        <v>140</v>
      </c>
      <c r="O47" s="409" t="s">
        <v>141</v>
      </c>
      <c r="P47" s="410">
        <v>0</v>
      </c>
      <c r="Q47" s="410">
        <v>0</v>
      </c>
      <c r="R47" s="410">
        <f t="shared" si="2"/>
        <v>0</v>
      </c>
    </row>
    <row r="48" spans="1:18" ht="21.75" customHeight="1" thickTop="1">
      <c r="A48" s="543" t="s">
        <v>551</v>
      </c>
      <c r="B48" s="560" t="s">
        <v>563</v>
      </c>
      <c r="C48" s="562" t="s">
        <v>568</v>
      </c>
      <c r="D48" s="562"/>
      <c r="E48" s="215">
        <f>+E50+E62</f>
        <v>418269842</v>
      </c>
      <c r="F48" s="215"/>
      <c r="G48" s="215"/>
      <c r="H48" s="105"/>
      <c r="I48" s="105"/>
      <c r="N48" s="409" t="s">
        <v>142</v>
      </c>
      <c r="O48" s="409" t="s">
        <v>143</v>
      </c>
      <c r="P48" s="410">
        <v>0</v>
      </c>
      <c r="Q48" s="410">
        <v>0</v>
      </c>
      <c r="R48" s="410">
        <f t="shared" si="2"/>
        <v>0</v>
      </c>
    </row>
    <row r="49" spans="1:18" ht="21.75" customHeight="1">
      <c r="A49" s="544"/>
      <c r="B49" s="561"/>
      <c r="C49" s="336"/>
      <c r="D49" s="336"/>
      <c r="E49" s="337">
        <f>+E48/E5*100</f>
        <v>3.0605887986127223</v>
      </c>
      <c r="F49" s="337"/>
      <c r="G49" s="337"/>
      <c r="H49" s="105"/>
      <c r="I49" s="105"/>
      <c r="N49" s="409" t="s">
        <v>144</v>
      </c>
      <c r="O49" s="409" t="s">
        <v>145</v>
      </c>
      <c r="P49" s="410">
        <v>0</v>
      </c>
      <c r="Q49" s="410">
        <v>0</v>
      </c>
      <c r="R49" s="410">
        <f t="shared" si="2"/>
        <v>0</v>
      </c>
    </row>
    <row r="50" spans="1:18" s="10" customFormat="1" ht="18" customHeight="1">
      <c r="A50" s="545"/>
      <c r="B50" s="558"/>
      <c r="C50" s="563" t="s">
        <v>569</v>
      </c>
      <c r="D50" s="563"/>
      <c r="E50" s="216">
        <f>+E54+E56+E58+E60</f>
        <v>262582770</v>
      </c>
      <c r="F50" s="216"/>
      <c r="G50" s="216"/>
      <c r="H50" s="105"/>
      <c r="I50" s="105"/>
      <c r="N50" s="409" t="s">
        <v>146</v>
      </c>
      <c r="O50" s="409" t="s">
        <v>147</v>
      </c>
      <c r="P50" s="410">
        <v>0</v>
      </c>
      <c r="Q50" s="410">
        <v>0</v>
      </c>
      <c r="R50" s="410">
        <f t="shared" si="2"/>
        <v>0</v>
      </c>
    </row>
    <row r="51" spans="1:18" s="10" customFormat="1" ht="18" customHeight="1">
      <c r="A51" s="545"/>
      <c r="B51" s="558"/>
      <c r="C51" s="288"/>
      <c r="D51" s="288"/>
      <c r="E51" s="338">
        <f>+E50/E5*100</f>
        <v>1.9213861576247726</v>
      </c>
      <c r="F51" s="338"/>
      <c r="G51" s="338"/>
      <c r="H51" s="105"/>
      <c r="I51" s="105"/>
      <c r="N51" s="409" t="s">
        <v>148</v>
      </c>
      <c r="O51" s="409" t="s">
        <v>149</v>
      </c>
      <c r="P51" s="410">
        <v>0</v>
      </c>
      <c r="Q51" s="410">
        <v>0</v>
      </c>
      <c r="R51" s="410">
        <f t="shared" si="2"/>
        <v>0</v>
      </c>
    </row>
    <row r="52" spans="1:18" s="10" customFormat="1" ht="18" customHeight="1">
      <c r="A52" s="545"/>
      <c r="B52" s="558"/>
      <c r="C52" s="288"/>
      <c r="D52" s="288" t="s">
        <v>650</v>
      </c>
      <c r="E52" s="216">
        <f>+E54+E56+E58+E60</f>
        <v>262582770</v>
      </c>
      <c r="F52" s="216"/>
      <c r="G52" s="216"/>
      <c r="H52" s="105"/>
      <c r="I52" s="105"/>
      <c r="N52" s="396" t="s">
        <v>693</v>
      </c>
      <c r="O52" s="396" t="s">
        <v>694</v>
      </c>
      <c r="P52" s="397">
        <v>187630294</v>
      </c>
      <c r="Q52" s="397">
        <v>168813458</v>
      </c>
      <c r="R52" s="397">
        <f>+P52-Q52</f>
        <v>18816836</v>
      </c>
    </row>
    <row r="53" spans="1:18" s="10" customFormat="1" ht="18" customHeight="1">
      <c r="A53" s="545"/>
      <c r="B53" s="558"/>
      <c r="C53" s="288"/>
      <c r="D53" s="288"/>
      <c r="E53" s="338">
        <f>+E52/E50*100</f>
        <v>100</v>
      </c>
      <c r="F53" s="338"/>
      <c r="G53" s="338"/>
      <c r="H53" s="105"/>
      <c r="I53" s="105"/>
      <c r="N53" s="396" t="s">
        <v>150</v>
      </c>
      <c r="O53" s="396" t="s">
        <v>151</v>
      </c>
      <c r="P53" s="397">
        <v>187630294</v>
      </c>
      <c r="Q53" s="397">
        <v>168813458</v>
      </c>
      <c r="R53" s="397">
        <f>+P53-Q53</f>
        <v>18816836</v>
      </c>
    </row>
    <row r="54" spans="1:18" ht="26.25" customHeight="1">
      <c r="A54" s="545"/>
      <c r="B54" s="558"/>
      <c r="C54" s="613" t="s">
        <v>558</v>
      </c>
      <c r="D54" s="108" t="s">
        <v>559</v>
      </c>
      <c r="E54" s="221">
        <f>+'recursos de Gestión '!B21</f>
        <v>20000000</v>
      </c>
      <c r="F54" s="221"/>
      <c r="G54" s="221"/>
      <c r="N54" s="396" t="s">
        <v>152</v>
      </c>
      <c r="O54" s="396" t="s">
        <v>153</v>
      </c>
      <c r="P54" s="397">
        <v>187630294</v>
      </c>
      <c r="Q54" s="397">
        <v>168813458</v>
      </c>
      <c r="R54" s="397">
        <f>+P54-Q54</f>
        <v>18816836</v>
      </c>
    </row>
    <row r="55" spans="1:18" ht="26.25" customHeight="1">
      <c r="A55" s="545"/>
      <c r="B55" s="558"/>
      <c r="C55" s="613"/>
      <c r="D55" s="108"/>
      <c r="E55" s="339">
        <f>+E54/E52*100</f>
        <v>7.6166459817603425</v>
      </c>
      <c r="F55" s="339"/>
      <c r="G55" s="339"/>
      <c r="N55" s="396" t="s">
        <v>154</v>
      </c>
      <c r="O55" s="396" t="s">
        <v>155</v>
      </c>
      <c r="P55" s="397">
        <v>187630294</v>
      </c>
      <c r="Q55" s="397">
        <v>168813458</v>
      </c>
      <c r="R55" s="397">
        <f>+P55-Q55</f>
        <v>18816836</v>
      </c>
    </row>
    <row r="56" spans="1:7" ht="26.25" customHeight="1">
      <c r="A56" s="545"/>
      <c r="B56" s="558"/>
      <c r="C56" s="613"/>
      <c r="D56" s="108" t="s">
        <v>560</v>
      </c>
      <c r="E56" s="221">
        <f>+'recursos de Gestión '!B22+'GASTOS E INVERSION SIN GESTION'!C122+'GASTOS E INVERSION SIN GESTION'!C124+'GASTOS E INVERSION SIN GESTION'!C128</f>
        <v>61082770</v>
      </c>
      <c r="F56" s="221"/>
      <c r="G56" s="221"/>
    </row>
    <row r="57" spans="1:7" ht="26.25" customHeight="1">
      <c r="A57" s="545"/>
      <c r="B57" s="558"/>
      <c r="C57" s="613"/>
      <c r="D57" s="108"/>
      <c r="E57" s="339">
        <f>+E56/E52*100</f>
        <v>23.262291733764556</v>
      </c>
      <c r="F57" s="339"/>
      <c r="G57" s="339"/>
    </row>
    <row r="58" spans="1:7" ht="34.5" customHeight="1">
      <c r="A58" s="545"/>
      <c r="B58" s="558"/>
      <c r="C58" s="613"/>
      <c r="D58" s="217" t="s">
        <v>561</v>
      </c>
      <c r="E58" s="221">
        <f>+'recursos de Gestión '!B23+'GASTOS E INVERSION SIN GESTION'!C117</f>
        <v>122000000</v>
      </c>
      <c r="F58" s="221"/>
      <c r="G58" s="221"/>
    </row>
    <row r="59" spans="1:7" ht="34.5" customHeight="1">
      <c r="A59" s="545"/>
      <c r="B59" s="558"/>
      <c r="C59" s="613"/>
      <c r="D59" s="290"/>
      <c r="E59" s="339">
        <f>+E58/E52*100</f>
        <v>46.46154048873809</v>
      </c>
      <c r="F59" s="339"/>
      <c r="G59" s="339"/>
    </row>
    <row r="60" spans="1:7" ht="29.25" customHeight="1">
      <c r="A60" s="545"/>
      <c r="B60" s="558"/>
      <c r="C60" s="613"/>
      <c r="D60" s="218" t="s">
        <v>562</v>
      </c>
      <c r="E60" s="221">
        <f>+'recursos de Gestión '!B24+'GASTOS E INVERSION SIN GESTION'!C129+'GASTOS E INVERSION SIN GESTION'!C123</f>
        <v>59500000</v>
      </c>
      <c r="F60" s="221"/>
      <c r="G60" s="221"/>
    </row>
    <row r="61" spans="1:7" ht="29.25" customHeight="1">
      <c r="A61" s="545"/>
      <c r="B61" s="282"/>
      <c r="C61" s="289"/>
      <c r="D61" s="218"/>
      <c r="E61" s="339">
        <f>+E60/E52*100</f>
        <v>22.659521795737017</v>
      </c>
      <c r="F61" s="339"/>
      <c r="G61" s="339"/>
    </row>
    <row r="62" spans="1:9" ht="22.5" customHeight="1">
      <c r="A62" s="545"/>
      <c r="B62" s="558" t="s">
        <v>567</v>
      </c>
      <c r="C62" s="563" t="s">
        <v>657</v>
      </c>
      <c r="D62" s="563"/>
      <c r="E62" s="216">
        <f>+E66+E68+E72</f>
        <v>155687072</v>
      </c>
      <c r="F62" s="216"/>
      <c r="G62" s="216"/>
      <c r="H62" s="105"/>
      <c r="I62" s="105"/>
    </row>
    <row r="63" spans="1:9" ht="22.5" customHeight="1">
      <c r="A63" s="545"/>
      <c r="B63" s="558"/>
      <c r="C63" s="288"/>
      <c r="D63" s="288" t="s">
        <v>651</v>
      </c>
      <c r="E63" s="338">
        <f>+E62/E5*100</f>
        <v>1.1392026409879497</v>
      </c>
      <c r="F63" s="338"/>
      <c r="G63" s="338"/>
      <c r="H63" s="105"/>
      <c r="I63" s="105"/>
    </row>
    <row r="64" spans="1:9" ht="22.5" customHeight="1">
      <c r="A64" s="545"/>
      <c r="B64" s="558"/>
      <c r="C64" s="604" t="s">
        <v>565</v>
      </c>
      <c r="D64" s="288" t="s">
        <v>650</v>
      </c>
      <c r="E64" s="216">
        <f>+E66+E68</f>
        <v>130687072</v>
      </c>
      <c r="F64" s="216"/>
      <c r="G64" s="216"/>
      <c r="H64" s="105"/>
      <c r="I64" s="105"/>
    </row>
    <row r="65" spans="1:9" ht="22.5" customHeight="1">
      <c r="A65" s="545"/>
      <c r="B65" s="558"/>
      <c r="C65" s="605"/>
      <c r="D65" s="288" t="s">
        <v>651</v>
      </c>
      <c r="E65" s="338">
        <f>+E64/E62*100</f>
        <v>83.94214774621749</v>
      </c>
      <c r="F65" s="338"/>
      <c r="G65" s="338"/>
      <c r="H65" s="105"/>
      <c r="I65" s="105"/>
    </row>
    <row r="66" spans="1:7" ht="35.25" customHeight="1">
      <c r="A66" s="545"/>
      <c r="B66" s="558"/>
      <c r="C66" s="605"/>
      <c r="D66" s="340" t="s">
        <v>564</v>
      </c>
      <c r="E66" s="332">
        <f>+'recursos de Gestión '!B26+'GASTOS E INVERSION SIN GESTION'!C132+'GASTOS E INVERSION SIN GESTION'!C136+'GASTOS E INVERSION SIN GESTION'!C139+'GASTOS E INVERSION SIN GESTION'!C142</f>
        <v>105687072</v>
      </c>
      <c r="F66" s="332"/>
      <c r="G66" s="332"/>
    </row>
    <row r="67" spans="1:7" ht="35.25" customHeight="1">
      <c r="A67" s="545"/>
      <c r="B67" s="558"/>
      <c r="C67" s="605"/>
      <c r="D67" s="340" t="s">
        <v>651</v>
      </c>
      <c r="E67" s="341">
        <f>+E66/E64*100</f>
        <v>80.87033428983702</v>
      </c>
      <c r="F67" s="341"/>
      <c r="G67" s="341"/>
    </row>
    <row r="68" spans="1:7" ht="27" customHeight="1">
      <c r="A68" s="545"/>
      <c r="B68" s="558"/>
      <c r="C68" s="606"/>
      <c r="D68" s="342" t="s">
        <v>566</v>
      </c>
      <c r="E68" s="331">
        <f>+'recursos de Gestión '!B27</f>
        <v>25000000</v>
      </c>
      <c r="F68" s="331"/>
      <c r="G68" s="331"/>
    </row>
    <row r="69" spans="1:7" ht="27" customHeight="1">
      <c r="A69" s="545"/>
      <c r="B69" s="558"/>
      <c r="C69" s="290"/>
      <c r="D69" s="342" t="s">
        <v>651</v>
      </c>
      <c r="E69" s="343">
        <f>+E68/E64*100</f>
        <v>19.12966571016298</v>
      </c>
      <c r="F69" s="343"/>
      <c r="G69" s="343"/>
    </row>
    <row r="70" spans="1:7" ht="27" customHeight="1">
      <c r="A70" s="545"/>
      <c r="B70" s="558"/>
      <c r="C70" s="290"/>
      <c r="D70" s="340" t="s">
        <v>656</v>
      </c>
      <c r="E70" s="332">
        <f>+E72</f>
        <v>25000000</v>
      </c>
      <c r="F70" s="332"/>
      <c r="G70" s="332"/>
    </row>
    <row r="71" spans="1:8" ht="27" customHeight="1">
      <c r="A71" s="545"/>
      <c r="B71" s="558"/>
      <c r="C71" s="290"/>
      <c r="D71" s="340" t="s">
        <v>651</v>
      </c>
      <c r="E71" s="341">
        <f>+E70/E62*100</f>
        <v>16.057852253782514</v>
      </c>
      <c r="F71" s="341"/>
      <c r="G71" s="341"/>
      <c r="H71" s="14"/>
    </row>
    <row r="72" spans="1:7" ht="50.25" customHeight="1">
      <c r="A72" s="545"/>
      <c r="B72" s="558"/>
      <c r="C72" s="219" t="s">
        <v>570</v>
      </c>
      <c r="D72" s="342" t="s">
        <v>571</v>
      </c>
      <c r="E72" s="331">
        <f>+'recursos de Gestión '!B28</f>
        <v>25000000</v>
      </c>
      <c r="F72" s="331"/>
      <c r="G72" s="331"/>
    </row>
    <row r="73" spans="1:8" ht="29.25" customHeight="1">
      <c r="A73" s="545"/>
      <c r="B73" s="282"/>
      <c r="C73" s="289"/>
      <c r="D73" s="342"/>
      <c r="E73" s="343">
        <f>+E72/E70*100</f>
        <v>100</v>
      </c>
      <c r="F73" s="343"/>
      <c r="G73" s="343"/>
      <c r="H73" s="14"/>
    </row>
    <row r="74" spans="1:7" ht="21" customHeight="1">
      <c r="A74" s="545"/>
      <c r="B74" s="558" t="s">
        <v>572</v>
      </c>
      <c r="C74" s="631" t="s">
        <v>658</v>
      </c>
      <c r="D74" s="631"/>
      <c r="E74" s="220">
        <f>+E76</f>
        <v>780000000</v>
      </c>
      <c r="F74" s="220"/>
      <c r="G74" s="220"/>
    </row>
    <row r="75" spans="1:7" ht="21" customHeight="1">
      <c r="A75" s="545"/>
      <c r="B75" s="558"/>
      <c r="C75" s="291"/>
      <c r="D75" s="291" t="s">
        <v>651</v>
      </c>
      <c r="E75" s="344">
        <f>+E74/E5*100</f>
        <v>5.70746208118424</v>
      </c>
      <c r="F75" s="344"/>
      <c r="G75" s="344"/>
    </row>
    <row r="76" spans="1:9" ht="71.25" customHeight="1">
      <c r="A76" s="545"/>
      <c r="B76" s="558"/>
      <c r="C76" s="219" t="s">
        <v>573</v>
      </c>
      <c r="D76" s="108" t="s">
        <v>574</v>
      </c>
      <c r="E76" s="221">
        <f>+'recursos de Gestión '!B30+'recursos de Gestión '!B31+'recursos de Gestión '!B32+'GASTOS E INVERSION SIN GESTION'!C196</f>
        <v>780000000</v>
      </c>
      <c r="F76" s="221"/>
      <c r="G76" s="221"/>
      <c r="H76" s="78"/>
      <c r="I76" s="78"/>
    </row>
    <row r="77" spans="1:9" ht="27" customHeight="1">
      <c r="A77" s="545"/>
      <c r="B77" s="282"/>
      <c r="C77" s="289"/>
      <c r="D77" s="108" t="s">
        <v>651</v>
      </c>
      <c r="E77" s="339">
        <f>+E76/E74*100</f>
        <v>100</v>
      </c>
      <c r="F77" s="339"/>
      <c r="G77" s="339"/>
      <c r="H77" s="78"/>
      <c r="I77" s="78"/>
    </row>
    <row r="78" spans="1:9" ht="21.75" customHeight="1">
      <c r="A78" s="545"/>
      <c r="B78" s="558" t="s">
        <v>579</v>
      </c>
      <c r="C78" s="631" t="s">
        <v>587</v>
      </c>
      <c r="D78" s="631"/>
      <c r="E78" s="222">
        <f>+E84+E86+E92+E94+E96+E98+E100</f>
        <v>866000000</v>
      </c>
      <c r="F78" s="222"/>
      <c r="G78" s="222"/>
      <c r="H78" s="112"/>
      <c r="I78" s="112"/>
    </row>
    <row r="79" spans="1:9" ht="21.75" customHeight="1">
      <c r="A79" s="545"/>
      <c r="B79" s="558"/>
      <c r="C79" s="284"/>
      <c r="D79" s="284" t="s">
        <v>651</v>
      </c>
      <c r="E79" s="339">
        <f>+E78/E5*100</f>
        <v>6.336746361930196</v>
      </c>
      <c r="F79" s="339"/>
      <c r="G79" s="339"/>
      <c r="H79" s="112"/>
      <c r="I79" s="112"/>
    </row>
    <row r="80" spans="1:9" ht="21.75" customHeight="1">
      <c r="A80" s="545"/>
      <c r="B80" s="558"/>
      <c r="C80" s="284"/>
      <c r="D80" s="284" t="s">
        <v>659</v>
      </c>
      <c r="E80" s="221">
        <f>+E84+E86</f>
        <v>318000000</v>
      </c>
      <c r="F80" s="221"/>
      <c r="G80" s="221"/>
      <c r="H80" s="112"/>
      <c r="I80" s="112"/>
    </row>
    <row r="81" spans="1:9" ht="21.75" customHeight="1">
      <c r="A81" s="545"/>
      <c r="B81" s="558"/>
      <c r="C81" s="284"/>
      <c r="D81" s="283" t="s">
        <v>651</v>
      </c>
      <c r="E81" s="339">
        <f>+E80/E5*100</f>
        <v>2.326888386944344</v>
      </c>
      <c r="F81" s="339"/>
      <c r="G81" s="339"/>
      <c r="H81" s="112"/>
      <c r="I81" s="112"/>
    </row>
    <row r="82" spans="1:9" ht="21.75" customHeight="1">
      <c r="A82" s="545"/>
      <c r="B82" s="558"/>
      <c r="C82" s="284"/>
      <c r="D82" s="283" t="s">
        <v>650</v>
      </c>
      <c r="E82" s="221">
        <f>+E84+E86</f>
        <v>318000000</v>
      </c>
      <c r="F82" s="221"/>
      <c r="G82" s="221"/>
      <c r="H82" s="112"/>
      <c r="I82" s="112"/>
    </row>
    <row r="83" spans="1:9" ht="21.75" customHeight="1">
      <c r="A83" s="545"/>
      <c r="B83" s="558"/>
      <c r="C83" s="284"/>
      <c r="D83" s="283"/>
      <c r="E83" s="339">
        <f>+E82/E80*100</f>
        <v>100</v>
      </c>
      <c r="F83" s="339"/>
      <c r="G83" s="339"/>
      <c r="H83" s="112"/>
      <c r="I83" s="112"/>
    </row>
    <row r="84" spans="1:9" ht="21" customHeight="1">
      <c r="A84" s="545"/>
      <c r="B84" s="558"/>
      <c r="C84" s="553" t="s">
        <v>575</v>
      </c>
      <c r="D84" s="122" t="s">
        <v>576</v>
      </c>
      <c r="E84" s="221">
        <f>+'recursos de Gestión '!B34+'GASTOS E INVERSION SIN GESTION'!C223+'GASTOS E INVERSION SIN GESTION'!C217+'GASTOS E INVERSION SIN GESTION'!C216</f>
        <v>140000000</v>
      </c>
      <c r="F84" s="221"/>
      <c r="G84" s="221"/>
      <c r="H84" s="112"/>
      <c r="I84" s="112"/>
    </row>
    <row r="85" spans="1:9" ht="21" customHeight="1">
      <c r="A85" s="545"/>
      <c r="B85" s="558"/>
      <c r="C85" s="553"/>
      <c r="D85" s="283" t="s">
        <v>651</v>
      </c>
      <c r="E85" s="339">
        <f>+E84/E82*100</f>
        <v>44.0251572327044</v>
      </c>
      <c r="F85" s="339"/>
      <c r="G85" s="339"/>
      <c r="H85" s="112"/>
      <c r="I85" s="112"/>
    </row>
    <row r="86" spans="1:9" ht="22.5" customHeight="1">
      <c r="A86" s="545"/>
      <c r="B86" s="558"/>
      <c r="C86" s="554"/>
      <c r="D86" s="223" t="s">
        <v>577</v>
      </c>
      <c r="E86" s="221">
        <f>+'recursos de Gestión '!B35+'GASTOS E INVERSION SIN GESTION'!C218+'GASTOS E INVERSION SIN GESTION'!C219+'GASTOS E INVERSION SIN GESTION'!C220+'GASTOS E INVERSION SIN GESTION'!C221+'recursos de Gestión '!B40</f>
        <v>178000000</v>
      </c>
      <c r="F86" s="221"/>
      <c r="G86" s="221"/>
      <c r="H86" s="112"/>
      <c r="I86" s="112"/>
    </row>
    <row r="87" spans="1:9" ht="22.5" customHeight="1">
      <c r="A87" s="545"/>
      <c r="B87" s="282"/>
      <c r="C87" s="290"/>
      <c r="D87" s="223" t="s">
        <v>651</v>
      </c>
      <c r="E87" s="339">
        <f>+E86/E82*100</f>
        <v>55.9748427672956</v>
      </c>
      <c r="F87" s="339"/>
      <c r="G87" s="339"/>
      <c r="H87" s="112"/>
      <c r="I87" s="112"/>
    </row>
    <row r="88" spans="1:9" ht="22.5" customHeight="1">
      <c r="A88" s="545"/>
      <c r="B88" s="282"/>
      <c r="C88" s="290"/>
      <c r="D88" s="223" t="s">
        <v>660</v>
      </c>
      <c r="E88" s="221">
        <f>+E92+E94+E96+E98+E100</f>
        <v>548000000</v>
      </c>
      <c r="F88" s="221"/>
      <c r="G88" s="221"/>
      <c r="H88" s="112"/>
      <c r="I88" s="112"/>
    </row>
    <row r="89" spans="1:9" ht="22.5" customHeight="1">
      <c r="A89" s="545"/>
      <c r="B89" s="282"/>
      <c r="C89" s="290"/>
      <c r="D89" s="223" t="s">
        <v>661</v>
      </c>
      <c r="E89" s="339">
        <f>+E88/E5*100</f>
        <v>4.009857974985851</v>
      </c>
      <c r="F89" s="339"/>
      <c r="G89" s="339"/>
      <c r="H89" s="112"/>
      <c r="I89" s="112"/>
    </row>
    <row r="90" spans="1:9" ht="22.5" customHeight="1">
      <c r="A90" s="545"/>
      <c r="B90" s="282"/>
      <c r="C90" s="290"/>
      <c r="D90" s="223" t="s">
        <v>650</v>
      </c>
      <c r="E90" s="221">
        <f>+E92+E94+E96+E98+E100</f>
        <v>548000000</v>
      </c>
      <c r="F90" s="221"/>
      <c r="G90" s="221"/>
      <c r="H90" s="112"/>
      <c r="I90" s="112"/>
    </row>
    <row r="91" spans="1:9" ht="22.5" customHeight="1">
      <c r="A91" s="545"/>
      <c r="B91" s="282"/>
      <c r="C91" s="290"/>
      <c r="D91" s="223" t="s">
        <v>661</v>
      </c>
      <c r="E91" s="339">
        <f>+E90/E88*100</f>
        <v>100</v>
      </c>
      <c r="F91" s="339"/>
      <c r="G91" s="339"/>
      <c r="H91" s="112"/>
      <c r="I91" s="112"/>
    </row>
    <row r="92" spans="1:9" ht="26.25" customHeight="1">
      <c r="A92" s="545"/>
      <c r="B92" s="558" t="s">
        <v>580</v>
      </c>
      <c r="C92" s="555" t="s">
        <v>578</v>
      </c>
      <c r="D92" s="108" t="s">
        <v>582</v>
      </c>
      <c r="E92" s="221">
        <f>+'recursos de Gestión '!B36+'GASTOS E INVERSION SIN GESTION'!C224</f>
        <v>98000000</v>
      </c>
      <c r="F92" s="221"/>
      <c r="G92" s="221"/>
      <c r="H92" s="78"/>
      <c r="I92" s="78"/>
    </row>
    <row r="93" spans="1:9" ht="26.25" customHeight="1">
      <c r="A93" s="545"/>
      <c r="B93" s="558"/>
      <c r="C93" s="555"/>
      <c r="D93" s="223" t="s">
        <v>661</v>
      </c>
      <c r="E93" s="339">
        <f>+E92/E90*100</f>
        <v>17.88321167883212</v>
      </c>
      <c r="F93" s="339"/>
      <c r="G93" s="339"/>
      <c r="H93" s="78"/>
      <c r="I93" s="78"/>
    </row>
    <row r="94" spans="1:7" ht="28.5" customHeight="1">
      <c r="A94" s="545"/>
      <c r="B94" s="558"/>
      <c r="C94" s="554"/>
      <c r="D94" s="108" t="s">
        <v>583</v>
      </c>
      <c r="E94" s="221">
        <f>+'recursos de Gestión '!B39+'GASTOS E INVERSION SIN GESTION'!C214+'GASTOS E INVERSION SIN GESTION'!C215</f>
        <v>215000000</v>
      </c>
      <c r="F94" s="221"/>
      <c r="G94" s="221"/>
    </row>
    <row r="95" spans="1:7" ht="28.5" customHeight="1">
      <c r="A95" s="545"/>
      <c r="B95" s="558"/>
      <c r="C95" s="554"/>
      <c r="D95" s="223" t="s">
        <v>661</v>
      </c>
      <c r="E95" s="339">
        <f>+E94/E90*100</f>
        <v>39.23357664233576</v>
      </c>
      <c r="F95" s="339"/>
      <c r="G95" s="339"/>
    </row>
    <row r="96" spans="1:7" ht="22.5" customHeight="1">
      <c r="A96" s="545"/>
      <c r="B96" s="558"/>
      <c r="C96" s="554"/>
      <c r="D96" s="233" t="s">
        <v>645</v>
      </c>
      <c r="E96" s="221">
        <f>+'recursos de Gestión '!B38</f>
        <v>150000000</v>
      </c>
      <c r="F96" s="221"/>
      <c r="G96" s="221"/>
    </row>
    <row r="97" spans="1:7" ht="22.5" customHeight="1">
      <c r="A97" s="545"/>
      <c r="B97" s="558"/>
      <c r="C97" s="554"/>
      <c r="D97" s="223" t="s">
        <v>661</v>
      </c>
      <c r="E97" s="339">
        <f>+E96/E90*100</f>
        <v>27.37226277372263</v>
      </c>
      <c r="F97" s="339"/>
      <c r="G97" s="339"/>
    </row>
    <row r="98" spans="1:7" ht="18" customHeight="1">
      <c r="A98" s="545"/>
      <c r="B98" s="558"/>
      <c r="C98" s="554"/>
      <c r="D98" s="108" t="s">
        <v>584</v>
      </c>
      <c r="E98" s="221">
        <f>+'recursos de Gestión '!B37+'GASTOS E INVERSION SIN GESTION'!C212+'GASTOS E INVERSION SIN GESTION'!C213</f>
        <v>65000000</v>
      </c>
      <c r="F98" s="221"/>
      <c r="G98" s="221"/>
    </row>
    <row r="99" spans="1:7" ht="18" customHeight="1">
      <c r="A99" s="546"/>
      <c r="B99" s="548"/>
      <c r="C99" s="556"/>
      <c r="D99" s="223" t="s">
        <v>661</v>
      </c>
      <c r="E99" s="329">
        <f>+E98/E90*100</f>
        <v>11.861313868613138</v>
      </c>
      <c r="F99" s="329"/>
      <c r="G99" s="329"/>
    </row>
    <row r="100" spans="1:7" ht="18" customHeight="1" thickBot="1">
      <c r="A100" s="547"/>
      <c r="B100" s="559"/>
      <c r="C100" s="557"/>
      <c r="D100" s="226" t="s">
        <v>585</v>
      </c>
      <c r="E100" s="346">
        <f>+'recursos de Gestión '!B41</f>
        <v>20000000</v>
      </c>
      <c r="F100" s="346"/>
      <c r="G100" s="346"/>
    </row>
    <row r="101" spans="1:7" ht="18" customHeight="1" thickTop="1">
      <c r="A101" s="224"/>
      <c r="B101" s="127"/>
      <c r="C101" s="213"/>
      <c r="D101" s="223" t="s">
        <v>661</v>
      </c>
      <c r="E101" s="347">
        <f>+E100/E90*100</f>
        <v>3.64963503649635</v>
      </c>
      <c r="F101" s="347"/>
      <c r="G101" s="347"/>
    </row>
    <row r="102" spans="1:7" ht="18" customHeight="1">
      <c r="A102" s="224"/>
      <c r="B102" s="127"/>
      <c r="C102" s="213"/>
      <c r="D102" s="225"/>
      <c r="E102" s="105"/>
      <c r="F102" s="105"/>
      <c r="G102" s="105"/>
    </row>
    <row r="103" spans="1:7" ht="18" customHeight="1">
      <c r="A103" s="224"/>
      <c r="B103" s="127"/>
      <c r="C103" s="213"/>
      <c r="D103" s="225"/>
      <c r="E103" s="105"/>
      <c r="F103" s="105"/>
      <c r="G103" s="105"/>
    </row>
    <row r="104" spans="1:7" ht="18" customHeight="1">
      <c r="A104" s="542" t="s">
        <v>82</v>
      </c>
      <c r="B104" s="542"/>
      <c r="C104" s="542"/>
      <c r="D104" s="542"/>
      <c r="E104" s="542"/>
      <c r="F104" s="542"/>
      <c r="G104" s="542"/>
    </row>
    <row r="105" spans="1:7" ht="18" customHeight="1" thickBot="1">
      <c r="A105" s="579" t="s">
        <v>531</v>
      </c>
      <c r="B105" s="579"/>
      <c r="C105" s="579"/>
      <c r="D105" s="579"/>
      <c r="E105" s="579"/>
      <c r="F105" s="579"/>
      <c r="G105" s="579"/>
    </row>
    <row r="106" spans="1:7" ht="18" customHeight="1" thickBot="1" thickTop="1">
      <c r="A106" s="114" t="s">
        <v>526</v>
      </c>
      <c r="B106" s="113" t="s">
        <v>527</v>
      </c>
      <c r="C106" s="76" t="s">
        <v>64</v>
      </c>
      <c r="D106" s="76" t="s">
        <v>528</v>
      </c>
      <c r="E106" s="115">
        <v>2012</v>
      </c>
      <c r="F106" s="115"/>
      <c r="G106" s="115"/>
    </row>
    <row r="107" spans="1:8" ht="18" customHeight="1">
      <c r="A107" s="625" t="s">
        <v>505</v>
      </c>
      <c r="B107" s="630" t="s">
        <v>532</v>
      </c>
      <c r="C107" s="630"/>
      <c r="D107" s="630"/>
      <c r="E107" s="228">
        <f>+E109+E123+E130+E137+E145</f>
        <v>4781334171</v>
      </c>
      <c r="F107" s="228"/>
      <c r="G107" s="228"/>
      <c r="H107" s="13"/>
    </row>
    <row r="108" spans="1:8" ht="18" customHeight="1">
      <c r="A108" s="626"/>
      <c r="B108" s="348"/>
      <c r="C108" s="348"/>
      <c r="D108" s="348"/>
      <c r="E108" s="349">
        <f>+E107/E4*100</f>
        <v>22.713802080988696</v>
      </c>
      <c r="F108" s="349"/>
      <c r="G108" s="349"/>
      <c r="H108" s="13"/>
    </row>
    <row r="109" spans="1:9" ht="18" customHeight="1">
      <c r="A109" s="627"/>
      <c r="B109" s="558" t="s">
        <v>589</v>
      </c>
      <c r="C109" s="632" t="s">
        <v>639</v>
      </c>
      <c r="D109" s="632"/>
      <c r="E109" s="220">
        <f>+E113+E115+E117+E119+E121</f>
        <v>1977195268</v>
      </c>
      <c r="F109" s="220"/>
      <c r="G109" s="220"/>
      <c r="H109" s="105"/>
      <c r="I109" s="105"/>
    </row>
    <row r="110" spans="1:10" ht="18" customHeight="1">
      <c r="A110" s="627"/>
      <c r="B110" s="558"/>
      <c r="C110" s="293"/>
      <c r="D110" s="293" t="s">
        <v>661</v>
      </c>
      <c r="E110" s="344">
        <f>+E109/E107*100</f>
        <v>41.35237566100669</v>
      </c>
      <c r="F110" s="344"/>
      <c r="G110" s="344"/>
      <c r="H110" s="105"/>
      <c r="I110" s="105"/>
      <c r="J110">
        <f>152-107</f>
        <v>45</v>
      </c>
    </row>
    <row r="111" spans="1:9" ht="18" customHeight="1">
      <c r="A111" s="627"/>
      <c r="B111" s="558"/>
      <c r="C111" s="293"/>
      <c r="D111" s="293" t="s">
        <v>650</v>
      </c>
      <c r="E111" s="220">
        <f>+E113+E115+E117+E119+E121</f>
        <v>1977195268</v>
      </c>
      <c r="F111" s="220"/>
      <c r="G111" s="220"/>
      <c r="H111" s="105"/>
      <c r="I111" s="105"/>
    </row>
    <row r="112" spans="1:9" ht="18" customHeight="1">
      <c r="A112" s="627"/>
      <c r="B112" s="558"/>
      <c r="C112" s="293"/>
      <c r="D112" s="293" t="s">
        <v>661</v>
      </c>
      <c r="E112" s="344">
        <f>+E111/E109*100</f>
        <v>100</v>
      </c>
      <c r="F112" s="344"/>
      <c r="G112" s="344"/>
      <c r="H112" s="105"/>
      <c r="I112" s="105"/>
    </row>
    <row r="113" spans="1:9" ht="55.5" customHeight="1">
      <c r="A113" s="627"/>
      <c r="B113" s="558"/>
      <c r="C113" s="555" t="s">
        <v>588</v>
      </c>
      <c r="D113" s="108" t="s">
        <v>593</v>
      </c>
      <c r="E113" s="75">
        <f>+'recursos de Gestión '!B48+'GASTOS E INVERSION SIN GESTION'!C65+'GASTOS E INVERSION SIN GESTION'!C90+'GASTOS E INVERSION SIN GESTION'!C97+'GASTOS E INVERSION SIN GESTION'!C73+'GASTOS E INVERSION SIN GESTION'!C102+'GASTOS E INVERSION SIN GESTION'!C106</f>
        <v>120000000</v>
      </c>
      <c r="F113" s="75"/>
      <c r="G113" s="75"/>
      <c r="H113" s="6"/>
      <c r="I113" s="6"/>
    </row>
    <row r="114" spans="1:9" ht="23.25" customHeight="1">
      <c r="A114" s="627"/>
      <c r="B114" s="558"/>
      <c r="C114" s="555"/>
      <c r="D114" s="108" t="s">
        <v>661</v>
      </c>
      <c r="E114" s="350">
        <f>+E113/E111*100</f>
        <v>6.069203277093823</v>
      </c>
      <c r="F114" s="350"/>
      <c r="G114" s="350"/>
      <c r="H114" s="6"/>
      <c r="I114" s="6"/>
    </row>
    <row r="115" spans="1:9" ht="55.5" customHeight="1">
      <c r="A115" s="627"/>
      <c r="B115" s="558"/>
      <c r="C115" s="555"/>
      <c r="D115" s="108" t="s">
        <v>597</v>
      </c>
      <c r="E115" s="75">
        <f>+'recursos de Gestión '!B49+'GASTOS E INVERSION SIN GESTION'!C75</f>
        <v>748883244</v>
      </c>
      <c r="F115" s="75"/>
      <c r="G115" s="75"/>
      <c r="H115" s="6"/>
      <c r="I115" s="6"/>
    </row>
    <row r="116" spans="1:9" ht="23.25" customHeight="1">
      <c r="A116" s="627"/>
      <c r="B116" s="558"/>
      <c r="C116" s="555"/>
      <c r="D116" s="108"/>
      <c r="E116" s="350">
        <f>+E115/E111*100</f>
        <v>37.87603865537877</v>
      </c>
      <c r="F116" s="350"/>
      <c r="G116" s="350"/>
      <c r="H116" s="6"/>
      <c r="I116" s="6"/>
    </row>
    <row r="117" spans="1:9" ht="42" customHeight="1">
      <c r="A117" s="627"/>
      <c r="B117" s="558"/>
      <c r="C117" s="555"/>
      <c r="D117" s="108" t="s">
        <v>590</v>
      </c>
      <c r="E117" s="75">
        <f>+'recursos de Gestión '!B50+'GASTOS E INVERSION SIN GESTION'!C81+'GASTOS E INVERSION SIN GESTION'!C85+'GASTOS E INVERSION SIN GESTION'!C99+'GASTOS E INVERSION SIN GESTION'!C104+'GASTOS E INVERSION SIN GESTION'!C111</f>
        <v>912000000</v>
      </c>
      <c r="F117" s="75"/>
      <c r="G117" s="75"/>
      <c r="H117" s="6"/>
      <c r="I117" s="6"/>
    </row>
    <row r="118" spans="1:9" ht="24" customHeight="1">
      <c r="A118" s="627"/>
      <c r="B118" s="558"/>
      <c r="C118" s="555"/>
      <c r="D118" s="108"/>
      <c r="E118" s="350">
        <f>+E117/E111*100</f>
        <v>46.12594490591306</v>
      </c>
      <c r="F118" s="350"/>
      <c r="G118" s="350"/>
      <c r="H118" s="6"/>
      <c r="I118" s="6"/>
    </row>
    <row r="119" spans="1:9" ht="25.5" customHeight="1">
      <c r="A119" s="627"/>
      <c r="B119" s="558"/>
      <c r="C119" s="555"/>
      <c r="D119" s="108" t="s">
        <v>591</v>
      </c>
      <c r="E119" s="75">
        <f>+'recursos de Gestión '!B51+'GASTOS E INVERSION SIN GESTION'!C67</f>
        <v>196312024</v>
      </c>
      <c r="F119" s="75"/>
      <c r="G119" s="75"/>
      <c r="H119" s="6"/>
      <c r="I119" s="6"/>
    </row>
    <row r="120" spans="1:9" ht="25.5" customHeight="1">
      <c r="A120" s="627"/>
      <c r="B120" s="558"/>
      <c r="C120" s="555"/>
      <c r="D120" s="108"/>
      <c r="E120" s="350">
        <f>+E119/E111*100</f>
        <v>9.928813161614345</v>
      </c>
      <c r="F120" s="350"/>
      <c r="G120" s="350"/>
      <c r="H120" s="6"/>
      <c r="I120" s="6"/>
    </row>
    <row r="121" spans="1:9" ht="25.5" customHeight="1">
      <c r="A121" s="627"/>
      <c r="B121" s="558"/>
      <c r="C121" s="555"/>
      <c r="D121" s="108" t="s">
        <v>592</v>
      </c>
      <c r="E121" s="75">
        <f>+'recursos de Gestión '!B52</f>
        <v>0</v>
      </c>
      <c r="F121" s="75"/>
      <c r="G121" s="75"/>
      <c r="H121" s="6"/>
      <c r="I121" s="6"/>
    </row>
    <row r="122" spans="1:9" ht="25.5" customHeight="1">
      <c r="A122" s="627"/>
      <c r="B122" s="282"/>
      <c r="C122" s="283"/>
      <c r="D122" s="108"/>
      <c r="E122" s="350">
        <f>+E121/E111*100</f>
        <v>0</v>
      </c>
      <c r="F122" s="350"/>
      <c r="G122" s="350"/>
      <c r="H122" s="6"/>
      <c r="I122" s="6"/>
    </row>
    <row r="123" spans="1:9" ht="16.5" customHeight="1">
      <c r="A123" s="627"/>
      <c r="B123" s="558" t="s">
        <v>520</v>
      </c>
      <c r="C123" s="632" t="s">
        <v>594</v>
      </c>
      <c r="D123" s="632"/>
      <c r="E123" s="220">
        <f>+E127</f>
        <v>1180848616</v>
      </c>
      <c r="F123" s="220"/>
      <c r="G123" s="220"/>
      <c r="H123" s="12"/>
      <c r="I123" s="12"/>
    </row>
    <row r="124" spans="1:9" ht="16.5" customHeight="1">
      <c r="A124" s="627"/>
      <c r="B124" s="558"/>
      <c r="C124" s="293"/>
      <c r="D124" s="293"/>
      <c r="E124" s="344">
        <f>+E123/E107*100</f>
        <v>24.697052616864667</v>
      </c>
      <c r="F124" s="344"/>
      <c r="G124" s="344"/>
      <c r="H124" s="12"/>
      <c r="I124" s="12"/>
    </row>
    <row r="125" spans="1:9" ht="16.5" customHeight="1">
      <c r="A125" s="627"/>
      <c r="B125" s="558"/>
      <c r="C125" s="352"/>
      <c r="D125" s="352" t="s">
        <v>662</v>
      </c>
      <c r="E125" s="353">
        <f>+E127</f>
        <v>1180848616</v>
      </c>
      <c r="F125" s="353"/>
      <c r="G125" s="353"/>
      <c r="H125" s="12"/>
      <c r="I125" s="12"/>
    </row>
    <row r="126" spans="1:9" ht="16.5" customHeight="1">
      <c r="A126" s="627"/>
      <c r="B126" s="558"/>
      <c r="C126" s="352"/>
      <c r="D126" s="352"/>
      <c r="E126" s="354">
        <f>+E125/E123*100</f>
        <v>100</v>
      </c>
      <c r="F126" s="354"/>
      <c r="G126" s="354"/>
      <c r="H126" s="12"/>
      <c r="I126" s="12"/>
    </row>
    <row r="127" spans="1:7" ht="28.5" customHeight="1">
      <c r="A127" s="627"/>
      <c r="B127" s="558"/>
      <c r="C127" s="599" t="s">
        <v>599</v>
      </c>
      <c r="D127" s="599" t="s">
        <v>600</v>
      </c>
      <c r="E127" s="564">
        <f>+'recursos de Gestión '!B53+'GASTOS E INVERSION SIN GESTION'!C225</f>
        <v>1180848616</v>
      </c>
      <c r="F127" s="298"/>
      <c r="G127" s="298"/>
    </row>
    <row r="128" spans="1:7" ht="18" customHeight="1">
      <c r="A128" s="627"/>
      <c r="B128" s="558"/>
      <c r="C128" s="599"/>
      <c r="D128" s="599"/>
      <c r="E128" s="564"/>
      <c r="F128" s="298"/>
      <c r="G128" s="298"/>
    </row>
    <row r="129" spans="1:7" ht="18" customHeight="1">
      <c r="A129" s="627"/>
      <c r="B129" s="282"/>
      <c r="C129" s="284"/>
      <c r="D129" s="284"/>
      <c r="E129" s="351">
        <f>+E127/E123*100</f>
        <v>100</v>
      </c>
      <c r="F129" s="351"/>
      <c r="G129" s="351"/>
    </row>
    <row r="130" spans="1:7" ht="16.5" customHeight="1">
      <c r="A130" s="627"/>
      <c r="B130" s="558" t="s">
        <v>521</v>
      </c>
      <c r="C130" s="596" t="s">
        <v>603</v>
      </c>
      <c r="D130" s="596"/>
      <c r="E130" s="229">
        <f>+E134</f>
        <v>354000000</v>
      </c>
      <c r="F130" s="229"/>
      <c r="G130" s="229"/>
    </row>
    <row r="131" spans="1:7" ht="16.5" customHeight="1">
      <c r="A131" s="627"/>
      <c r="B131" s="558"/>
      <c r="C131" s="294"/>
      <c r="D131" s="294"/>
      <c r="E131" s="355">
        <f>+E130/E107*100</f>
        <v>7.403791229383201</v>
      </c>
      <c r="F131" s="355"/>
      <c r="G131" s="355"/>
    </row>
    <row r="132" spans="1:7" ht="16.5" customHeight="1">
      <c r="A132" s="627"/>
      <c r="B132" s="558"/>
      <c r="C132" s="283"/>
      <c r="D132" s="283" t="s">
        <v>663</v>
      </c>
      <c r="E132" s="356">
        <f>+E134</f>
        <v>354000000</v>
      </c>
      <c r="F132" s="356"/>
      <c r="G132" s="356"/>
    </row>
    <row r="133" spans="1:7" ht="16.5" customHeight="1">
      <c r="A133" s="627"/>
      <c r="B133" s="558"/>
      <c r="C133" s="283"/>
      <c r="D133" s="283" t="s">
        <v>661</v>
      </c>
      <c r="E133" s="357">
        <f>+E132/E130*100</f>
        <v>100</v>
      </c>
      <c r="F133" s="357"/>
      <c r="G133" s="357"/>
    </row>
    <row r="134" spans="1:7" ht="25.5" customHeight="1">
      <c r="A134" s="627"/>
      <c r="B134" s="558"/>
      <c r="C134" s="598" t="s">
        <v>602</v>
      </c>
      <c r="D134" s="599" t="s">
        <v>601</v>
      </c>
      <c r="E134" s="564">
        <f>+'recursos de Gestión '!B60+'GASTOS E INVERSION SIN GESTION'!C180</f>
        <v>354000000</v>
      </c>
      <c r="F134" s="298"/>
      <c r="G134" s="298"/>
    </row>
    <row r="135" spans="1:7" ht="21.75" customHeight="1">
      <c r="A135" s="627"/>
      <c r="B135" s="558"/>
      <c r="C135" s="598"/>
      <c r="D135" s="599"/>
      <c r="E135" s="564"/>
      <c r="F135" s="298"/>
      <c r="G135" s="298"/>
    </row>
    <row r="136" spans="1:7" ht="21.75" customHeight="1">
      <c r="A136" s="627"/>
      <c r="B136" s="282"/>
      <c r="C136" s="296"/>
      <c r="D136" s="284" t="s">
        <v>661</v>
      </c>
      <c r="E136" s="351">
        <f>+E134/E132*100</f>
        <v>100</v>
      </c>
      <c r="F136" s="351"/>
      <c r="G136" s="351"/>
    </row>
    <row r="137" spans="1:9" ht="17.25" customHeight="1">
      <c r="A137" s="627"/>
      <c r="B137" s="558" t="s">
        <v>522</v>
      </c>
      <c r="C137" s="597" t="s">
        <v>604</v>
      </c>
      <c r="D137" s="597"/>
      <c r="E137" s="230">
        <f>+E141+E143</f>
        <v>964000000</v>
      </c>
      <c r="F137" s="230"/>
      <c r="G137" s="230"/>
      <c r="H137" s="13"/>
      <c r="I137" s="13"/>
    </row>
    <row r="138" spans="1:9" ht="17.25" customHeight="1">
      <c r="A138" s="627"/>
      <c r="B138" s="558"/>
      <c r="C138" s="295"/>
      <c r="D138" s="358" t="s">
        <v>661</v>
      </c>
      <c r="E138" s="360">
        <f>+E137/E107*100</f>
        <v>20.161736568150864</v>
      </c>
      <c r="F138" s="360"/>
      <c r="G138" s="360"/>
      <c r="H138" s="13"/>
      <c r="I138" s="13"/>
    </row>
    <row r="139" spans="1:9" ht="17.25" customHeight="1">
      <c r="A139" s="627"/>
      <c r="B139" s="558"/>
      <c r="C139" s="295"/>
      <c r="D139" s="358" t="s">
        <v>650</v>
      </c>
      <c r="E139" s="359">
        <f>+E141+E143</f>
        <v>964000000</v>
      </c>
      <c r="F139" s="359"/>
      <c r="G139" s="359"/>
      <c r="H139" s="13"/>
      <c r="I139" s="13"/>
    </row>
    <row r="140" spans="1:9" ht="17.25" customHeight="1">
      <c r="A140" s="627"/>
      <c r="B140" s="558"/>
      <c r="C140" s="295"/>
      <c r="D140" s="358"/>
      <c r="E140" s="360">
        <f>+E139/E137*100</f>
        <v>100</v>
      </c>
      <c r="F140" s="360"/>
      <c r="G140" s="360"/>
      <c r="H140" s="13"/>
      <c r="I140" s="13"/>
    </row>
    <row r="141" spans="1:7" ht="29.25" customHeight="1">
      <c r="A141" s="627"/>
      <c r="B141" s="558"/>
      <c r="C141" s="598" t="s">
        <v>605</v>
      </c>
      <c r="D141" s="108" t="s">
        <v>608</v>
      </c>
      <c r="E141" s="75">
        <f>+'recursos de Gestión '!B64+'GASTOS E INVERSION SIN GESTION'!C171+'GASTOS E INVERSION SIN GESTION'!C172+'GASTOS E INVERSION SIN GESTION'!C173+'GASTOS E INVERSION SIN GESTION'!C175+'GASTOS E INVERSION SIN GESTION'!C177+'GASTOS E INVERSION SIN GESTION'!C178+'GASTOS E INVERSION SIN GESTION'!C179</f>
        <v>894000000</v>
      </c>
      <c r="F141" s="75"/>
      <c r="G141" s="75"/>
    </row>
    <row r="142" spans="1:7" ht="29.25" customHeight="1">
      <c r="A142" s="627"/>
      <c r="B142" s="558"/>
      <c r="C142" s="598"/>
      <c r="D142" s="108"/>
      <c r="E142" s="350">
        <f>+E141/E139*100</f>
        <v>92.73858921161826</v>
      </c>
      <c r="F142" s="350"/>
      <c r="G142" s="350"/>
    </row>
    <row r="143" spans="1:7" ht="29.25" customHeight="1">
      <c r="A143" s="627"/>
      <c r="B143" s="558"/>
      <c r="C143" s="598"/>
      <c r="D143" s="108" t="s">
        <v>607</v>
      </c>
      <c r="E143" s="75">
        <f>+'recursos de Gestión '!B65</f>
        <v>70000000</v>
      </c>
      <c r="F143" s="75"/>
      <c r="G143" s="75"/>
    </row>
    <row r="144" spans="1:7" ht="29.25" customHeight="1">
      <c r="A144" s="627"/>
      <c r="B144" s="282"/>
      <c r="C144" s="296"/>
      <c r="D144" s="108"/>
      <c r="E144" s="350">
        <f>+E143/E139*100</f>
        <v>7.261410788381744</v>
      </c>
      <c r="F144" s="350"/>
      <c r="G144" s="350"/>
    </row>
    <row r="145" spans="1:8" ht="19.5" customHeight="1">
      <c r="A145" s="627"/>
      <c r="B145" s="558"/>
      <c r="C145" s="617" t="s">
        <v>612</v>
      </c>
      <c r="D145" s="597"/>
      <c r="E145" s="220">
        <f>+E149+E151</f>
        <v>305290287</v>
      </c>
      <c r="F145" s="220"/>
      <c r="G145" s="220"/>
      <c r="H145" s="13"/>
    </row>
    <row r="146" spans="1:8" ht="19.5" customHeight="1">
      <c r="A146" s="627"/>
      <c r="B146" s="614"/>
      <c r="C146" s="580" t="s">
        <v>612</v>
      </c>
      <c r="D146" s="358" t="s">
        <v>661</v>
      </c>
      <c r="E146" s="354">
        <f>+E145/E107*100</f>
        <v>6.385043924594577</v>
      </c>
      <c r="F146" s="354"/>
      <c r="G146" s="354"/>
      <c r="H146" s="13"/>
    </row>
    <row r="147" spans="1:8" ht="19.5" customHeight="1">
      <c r="A147" s="627"/>
      <c r="B147" s="614"/>
      <c r="C147" s="580"/>
      <c r="D147" s="358" t="s">
        <v>650</v>
      </c>
      <c r="E147" s="353">
        <f>+E149+E151</f>
        <v>305290287</v>
      </c>
      <c r="F147" s="353"/>
      <c r="G147" s="353"/>
      <c r="H147" s="13"/>
    </row>
    <row r="148" spans="1:8" ht="19.5" customHeight="1">
      <c r="A148" s="627"/>
      <c r="B148" s="614"/>
      <c r="C148" s="580"/>
      <c r="D148" s="358" t="s">
        <v>661</v>
      </c>
      <c r="E148" s="354">
        <f>+E147/E145*100</f>
        <v>100</v>
      </c>
      <c r="F148" s="354"/>
      <c r="G148" s="354"/>
      <c r="H148" s="13"/>
    </row>
    <row r="149" spans="1:7" ht="26.25" customHeight="1">
      <c r="A149" s="627"/>
      <c r="B149" s="614"/>
      <c r="C149" s="580"/>
      <c r="D149" s="108" t="s">
        <v>610</v>
      </c>
      <c r="E149" s="75">
        <f>+'recursos de Gestión '!B67+'GASTOS E INVERSION SIN GESTION'!C148+'GASTOS E INVERSION SIN GESTION'!C149</f>
        <v>145290287</v>
      </c>
      <c r="F149" s="75"/>
      <c r="G149" s="75"/>
    </row>
    <row r="150" spans="1:7" ht="26.25" customHeight="1">
      <c r="A150" s="628"/>
      <c r="B150" s="615"/>
      <c r="C150" s="580"/>
      <c r="D150" s="345" t="s">
        <v>661</v>
      </c>
      <c r="E150" s="363">
        <f>+E149/E147*100</f>
        <v>47.590864559670706</v>
      </c>
      <c r="F150" s="363"/>
      <c r="G150" s="363"/>
    </row>
    <row r="151" spans="1:7" ht="26.25" customHeight="1" thickBot="1">
      <c r="A151" s="629"/>
      <c r="B151" s="616"/>
      <c r="C151" s="580"/>
      <c r="D151" s="345" t="s">
        <v>611</v>
      </c>
      <c r="E151" s="361">
        <f>+'recursos de Gestión '!B68+'GASTOS E INVERSION SIN GESTION'!C150</f>
        <v>160000000</v>
      </c>
      <c r="F151" s="361"/>
      <c r="G151" s="361"/>
    </row>
    <row r="152" spans="1:7" ht="26.25" customHeight="1" thickTop="1">
      <c r="A152" s="127"/>
      <c r="B152" s="127"/>
      <c r="C152" s="580"/>
      <c r="D152" s="365" t="s">
        <v>661</v>
      </c>
      <c r="E152" s="364">
        <f>+E151/E147*100</f>
        <v>52.409135440329294</v>
      </c>
      <c r="F152" s="364"/>
      <c r="G152" s="364"/>
    </row>
    <row r="153" spans="1:7" ht="26.25" customHeight="1">
      <c r="A153" s="127"/>
      <c r="B153" s="127"/>
      <c r="C153" s="126"/>
      <c r="D153" s="225"/>
      <c r="E153" s="227"/>
      <c r="F153" s="227"/>
      <c r="G153" s="227"/>
    </row>
    <row r="154" spans="1:7" ht="26.25" customHeight="1">
      <c r="A154" s="542" t="s">
        <v>82</v>
      </c>
      <c r="B154" s="542"/>
      <c r="C154" s="542"/>
      <c r="D154" s="542"/>
      <c r="E154" s="542"/>
      <c r="F154" s="542"/>
      <c r="G154" s="542"/>
    </row>
    <row r="155" spans="1:7" ht="26.25" customHeight="1" thickBot="1">
      <c r="A155" s="579" t="s">
        <v>531</v>
      </c>
      <c r="B155" s="579"/>
      <c r="C155" s="579"/>
      <c r="D155" s="579"/>
      <c r="E155" s="579"/>
      <c r="F155" s="579"/>
      <c r="G155" s="579"/>
    </row>
    <row r="156" spans="1:7" ht="16.5" customHeight="1" thickBot="1" thickTop="1">
      <c r="A156" s="114" t="s">
        <v>526</v>
      </c>
      <c r="B156" s="113" t="s">
        <v>527</v>
      </c>
      <c r="C156" s="76" t="s">
        <v>64</v>
      </c>
      <c r="D156" s="76" t="s">
        <v>528</v>
      </c>
      <c r="E156" s="115">
        <v>2012</v>
      </c>
      <c r="F156" s="115"/>
      <c r="G156" s="115"/>
    </row>
    <row r="157" spans="1:9" ht="18" customHeight="1" thickTop="1">
      <c r="A157" s="574" t="s">
        <v>506</v>
      </c>
      <c r="B157" s="572" t="s">
        <v>533</v>
      </c>
      <c r="C157" s="572"/>
      <c r="D157" s="572"/>
      <c r="E157" s="231">
        <f>+E163+E165+E167+E173+E181</f>
        <v>1755693458.5</v>
      </c>
      <c r="F157" s="231"/>
      <c r="G157" s="231"/>
      <c r="H157" s="105"/>
      <c r="I157" s="121"/>
    </row>
    <row r="158" spans="1:9" ht="18" customHeight="1">
      <c r="A158" s="575"/>
      <c r="B158" s="366"/>
      <c r="C158" s="366"/>
      <c r="D158" s="366" t="s">
        <v>664</v>
      </c>
      <c r="E158" s="368">
        <f>+E157/E4*100</f>
        <v>8.340448984538366</v>
      </c>
      <c r="F158" s="368"/>
      <c r="G158" s="368"/>
      <c r="H158" s="105"/>
      <c r="I158" s="121"/>
    </row>
    <row r="159" spans="1:9" ht="18" customHeight="1">
      <c r="A159" s="575"/>
      <c r="B159" s="548" t="s">
        <v>523</v>
      </c>
      <c r="C159" s="569" t="s">
        <v>614</v>
      </c>
      <c r="D159" s="366" t="s">
        <v>665</v>
      </c>
      <c r="E159" s="367">
        <f>+E163+E165+E167</f>
        <v>660800000</v>
      </c>
      <c r="F159" s="367"/>
      <c r="G159" s="367"/>
      <c r="H159" s="105"/>
      <c r="I159" s="121"/>
    </row>
    <row r="160" spans="1:9" ht="18" customHeight="1">
      <c r="A160" s="575"/>
      <c r="B160" s="549"/>
      <c r="C160" s="570"/>
      <c r="D160" s="366" t="s">
        <v>664</v>
      </c>
      <c r="E160" s="368">
        <f>+E159/E157*100</f>
        <v>37.63754981262864</v>
      </c>
      <c r="F160" s="368"/>
      <c r="G160" s="368"/>
      <c r="H160" s="105"/>
      <c r="I160" s="121"/>
    </row>
    <row r="161" spans="1:9" ht="18" customHeight="1">
      <c r="A161" s="575"/>
      <c r="B161" s="549"/>
      <c r="C161" s="570"/>
      <c r="D161" s="369" t="s">
        <v>666</v>
      </c>
      <c r="E161" s="371">
        <f>+E163+E165+E167</f>
        <v>660800000</v>
      </c>
      <c r="F161" s="371"/>
      <c r="G161" s="371"/>
      <c r="H161" s="105"/>
      <c r="I161" s="121"/>
    </row>
    <row r="162" spans="1:9" ht="18" customHeight="1">
      <c r="A162" s="575"/>
      <c r="B162" s="549"/>
      <c r="C162" s="570"/>
      <c r="D162" s="369" t="s">
        <v>664</v>
      </c>
      <c r="E162" s="370">
        <f>+E161/E159*100</f>
        <v>100</v>
      </c>
      <c r="F162" s="370"/>
      <c r="G162" s="370"/>
      <c r="H162" s="105"/>
      <c r="I162" s="121"/>
    </row>
    <row r="163" spans="1:8" ht="42.75" customHeight="1">
      <c r="A163" s="576"/>
      <c r="B163" s="549"/>
      <c r="C163" s="570"/>
      <c r="D163" s="108" t="s">
        <v>613</v>
      </c>
      <c r="E163" s="75">
        <f>+'recursos de Gestión '!B72+'GASTOS E INVERSION SIN GESTION'!C154+'GASTOS E INVERSION SIN GESTION'!C155+'GASTOS E INVERSION SIN GESTION'!C156+'GASTOS E INVERSION SIN GESTION'!C159</f>
        <v>315800000</v>
      </c>
      <c r="F163" s="75"/>
      <c r="G163" s="75"/>
      <c r="H163" s="13"/>
    </row>
    <row r="164" spans="1:8" ht="42.75" customHeight="1">
      <c r="A164" s="576"/>
      <c r="B164" s="549"/>
      <c r="C164" s="570"/>
      <c r="D164" s="108"/>
      <c r="E164" s="350">
        <f>+E163/E161*100</f>
        <v>47.79055690072639</v>
      </c>
      <c r="F164" s="350"/>
      <c r="G164" s="350"/>
      <c r="H164" s="13"/>
    </row>
    <row r="165" spans="1:7" ht="30.75" customHeight="1">
      <c r="A165" s="576"/>
      <c r="B165" s="549"/>
      <c r="C165" s="570"/>
      <c r="D165" s="108" t="s">
        <v>615</v>
      </c>
      <c r="E165" s="75">
        <f>+'GASTOS E INVERSION SIN GESTION'!C157+'recursos de Gestión '!B73</f>
        <v>45000000</v>
      </c>
      <c r="F165" s="75"/>
      <c r="G165" s="75"/>
    </row>
    <row r="166" spans="1:7" ht="30.75" customHeight="1">
      <c r="A166" s="576"/>
      <c r="B166" s="549"/>
      <c r="C166" s="570"/>
      <c r="D166" s="108"/>
      <c r="E166" s="350">
        <f>+E165/E161*100</f>
        <v>6.809927360774819</v>
      </c>
      <c r="F166" s="350"/>
      <c r="G166" s="350"/>
    </row>
    <row r="167" spans="1:7" ht="18" customHeight="1">
      <c r="A167" s="576"/>
      <c r="B167" s="549"/>
      <c r="C167" s="570"/>
      <c r="D167" s="108" t="s">
        <v>616</v>
      </c>
      <c r="E167" s="75">
        <f>+'recursos de Gestión '!B70</f>
        <v>300000000</v>
      </c>
      <c r="F167" s="75"/>
      <c r="G167" s="75"/>
    </row>
    <row r="168" spans="1:7" ht="18" customHeight="1">
      <c r="A168" s="576"/>
      <c r="B168" s="561"/>
      <c r="C168" s="573"/>
      <c r="D168" s="108"/>
      <c r="E168" s="350">
        <f>+E167/E161*100</f>
        <v>45.39951573849879</v>
      </c>
      <c r="F168" s="350"/>
      <c r="G168" s="350"/>
    </row>
    <row r="169" spans="1:7" ht="18" customHeight="1">
      <c r="A169" s="576"/>
      <c r="B169" s="548" t="s">
        <v>524</v>
      </c>
      <c r="C169" s="569" t="s">
        <v>617</v>
      </c>
      <c r="D169" s="108" t="s">
        <v>665</v>
      </c>
      <c r="E169" s="350">
        <f>+E173</f>
        <v>20000000</v>
      </c>
      <c r="F169" s="350"/>
      <c r="G169" s="350"/>
    </row>
    <row r="170" spans="1:7" ht="18" customHeight="1">
      <c r="A170" s="576"/>
      <c r="B170" s="549"/>
      <c r="C170" s="570"/>
      <c r="D170" s="108" t="s">
        <v>664</v>
      </c>
      <c r="E170" s="350">
        <f>+E169/E157*100</f>
        <v>1.139151023384644</v>
      </c>
      <c r="F170" s="350"/>
      <c r="G170" s="350"/>
    </row>
    <row r="171" spans="1:7" ht="18" customHeight="1">
      <c r="A171" s="576"/>
      <c r="B171" s="549"/>
      <c r="C171" s="570"/>
      <c r="D171" s="108" t="s">
        <v>666</v>
      </c>
      <c r="E171" s="350">
        <f>+E173</f>
        <v>20000000</v>
      </c>
      <c r="F171" s="350"/>
      <c r="G171" s="350"/>
    </row>
    <row r="172" spans="1:7" ht="18" customHeight="1">
      <c r="A172" s="576"/>
      <c r="B172" s="549"/>
      <c r="C172" s="570"/>
      <c r="D172" s="108" t="s">
        <v>664</v>
      </c>
      <c r="E172" s="350">
        <f>+E171/E169*100</f>
        <v>100</v>
      </c>
      <c r="F172" s="350"/>
      <c r="G172" s="350"/>
    </row>
    <row r="173" spans="1:7" ht="36.75" customHeight="1">
      <c r="A173" s="576"/>
      <c r="B173" s="549"/>
      <c r="C173" s="570"/>
      <c r="D173" s="108" t="s">
        <v>618</v>
      </c>
      <c r="E173" s="564">
        <f>+'recursos de Gestión '!B71</f>
        <v>20000000</v>
      </c>
      <c r="F173" s="298"/>
      <c r="G173" s="298"/>
    </row>
    <row r="174" spans="1:7" ht="36.75" customHeight="1">
      <c r="A174" s="576"/>
      <c r="B174" s="549"/>
      <c r="C174" s="570"/>
      <c r="D174" s="108"/>
      <c r="E174" s="564"/>
      <c r="F174" s="298"/>
      <c r="G174" s="298"/>
    </row>
    <row r="175" spans="1:7" ht="36.75" customHeight="1">
      <c r="A175" s="576"/>
      <c r="B175" s="549"/>
      <c r="C175" s="570"/>
      <c r="D175" s="108" t="s">
        <v>619</v>
      </c>
      <c r="E175" s="564"/>
      <c r="F175" s="298"/>
      <c r="G175" s="298"/>
    </row>
    <row r="176" spans="1:7" ht="36.75" customHeight="1">
      <c r="A176" s="576"/>
      <c r="B176" s="561"/>
      <c r="C176" s="573"/>
      <c r="D176" s="108"/>
      <c r="E176" s="351">
        <f>+E173/E171*100</f>
        <v>100</v>
      </c>
      <c r="F176" s="351"/>
      <c r="G176" s="351"/>
    </row>
    <row r="177" spans="1:7" ht="21" customHeight="1">
      <c r="A177" s="576"/>
      <c r="B177" s="548" t="s">
        <v>525</v>
      </c>
      <c r="C177" s="569" t="s">
        <v>628</v>
      </c>
      <c r="D177" s="108" t="s">
        <v>667</v>
      </c>
      <c r="E177" s="292">
        <f>+E181</f>
        <v>1074893458.5</v>
      </c>
      <c r="F177" s="298"/>
      <c r="G177" s="298"/>
    </row>
    <row r="178" spans="1:7" ht="21" customHeight="1">
      <c r="A178" s="576"/>
      <c r="B178" s="549"/>
      <c r="C178" s="570"/>
      <c r="D178" s="108" t="s">
        <v>664</v>
      </c>
      <c r="E178" s="351">
        <f>+E177/E157*100</f>
        <v>61.223299163986724</v>
      </c>
      <c r="F178" s="351"/>
      <c r="G178" s="351"/>
    </row>
    <row r="179" spans="1:7" ht="21" customHeight="1">
      <c r="A179" s="576"/>
      <c r="B179" s="549"/>
      <c r="C179" s="570"/>
      <c r="D179" s="108" t="s">
        <v>666</v>
      </c>
      <c r="E179" s="292">
        <f>+E181</f>
        <v>1074893458.5</v>
      </c>
      <c r="F179" s="298"/>
      <c r="G179" s="298"/>
    </row>
    <row r="180" spans="1:7" ht="21" customHeight="1">
      <c r="A180" s="576"/>
      <c r="B180" s="549"/>
      <c r="C180" s="570"/>
      <c r="D180" s="108" t="s">
        <v>664</v>
      </c>
      <c r="E180" s="351">
        <f>+E179/E177*100</f>
        <v>100</v>
      </c>
      <c r="F180" s="351"/>
      <c r="G180" s="351"/>
    </row>
    <row r="181" spans="1:7" ht="19.5" customHeight="1">
      <c r="A181" s="576"/>
      <c r="B181" s="549"/>
      <c r="C181" s="570"/>
      <c r="D181" s="108" t="s">
        <v>621</v>
      </c>
      <c r="E181" s="564">
        <f>+'recursos de Gestión '!B74+'GASTOS E INVERSION SIN GESTION'!C190</f>
        <v>1074893458.5</v>
      </c>
      <c r="F181" s="298"/>
      <c r="G181" s="298"/>
    </row>
    <row r="182" spans="1:7" ht="19.5" customHeight="1">
      <c r="A182" s="576"/>
      <c r="B182" s="549"/>
      <c r="C182" s="570"/>
      <c r="D182" s="108"/>
      <c r="E182" s="564"/>
      <c r="F182" s="298"/>
      <c r="G182" s="298"/>
    </row>
    <row r="183" spans="1:7" ht="27" customHeight="1">
      <c r="A183" s="576"/>
      <c r="B183" s="549"/>
      <c r="C183" s="570"/>
      <c r="D183" s="108" t="s">
        <v>622</v>
      </c>
      <c r="E183" s="564"/>
      <c r="F183" s="298"/>
      <c r="G183" s="298"/>
    </row>
    <row r="184" spans="1:7" ht="27" customHeight="1">
      <c r="A184" s="576"/>
      <c r="B184" s="549"/>
      <c r="C184" s="570"/>
      <c r="D184" s="108"/>
      <c r="E184" s="564"/>
      <c r="F184" s="298"/>
      <c r="G184" s="298"/>
    </row>
    <row r="185" spans="1:7" ht="26.25" customHeight="1">
      <c r="A185" s="576"/>
      <c r="B185" s="549"/>
      <c r="C185" s="570"/>
      <c r="D185" s="108" t="s">
        <v>623</v>
      </c>
      <c r="E185" s="564"/>
      <c r="F185" s="298"/>
      <c r="G185" s="298"/>
    </row>
    <row r="186" spans="1:7" ht="26.25" customHeight="1">
      <c r="A186" s="576"/>
      <c r="B186" s="549"/>
      <c r="C186" s="570"/>
      <c r="D186" s="108"/>
      <c r="E186" s="564"/>
      <c r="F186" s="298"/>
      <c r="G186" s="298"/>
    </row>
    <row r="187" spans="1:7" ht="18" customHeight="1">
      <c r="A187" s="576"/>
      <c r="B187" s="549"/>
      <c r="C187" s="570"/>
      <c r="D187" s="120" t="s">
        <v>624</v>
      </c>
      <c r="E187" s="564"/>
      <c r="F187" s="298"/>
      <c r="G187" s="298"/>
    </row>
    <row r="188" spans="1:7" ht="18" customHeight="1">
      <c r="A188" s="576"/>
      <c r="B188" s="549"/>
      <c r="C188" s="570"/>
      <c r="D188" s="120"/>
      <c r="E188" s="564"/>
      <c r="F188" s="298"/>
      <c r="G188" s="298"/>
    </row>
    <row r="189" spans="1:7" ht="18" customHeight="1">
      <c r="A189" s="576"/>
      <c r="B189" s="549"/>
      <c r="C189" s="570"/>
      <c r="D189" s="120" t="s">
        <v>625</v>
      </c>
      <c r="E189" s="564"/>
      <c r="F189" s="298"/>
      <c r="G189" s="298"/>
    </row>
    <row r="190" spans="1:7" ht="18" customHeight="1">
      <c r="A190" s="577"/>
      <c r="B190" s="549"/>
      <c r="C190" s="570"/>
      <c r="D190" s="372"/>
      <c r="E190" s="565"/>
      <c r="F190" s="373"/>
      <c r="G190" s="373"/>
    </row>
    <row r="191" spans="1:7" ht="18" customHeight="1" thickBot="1">
      <c r="A191" s="578"/>
      <c r="B191" s="550"/>
      <c r="C191" s="571"/>
      <c r="D191" s="232" t="s">
        <v>626</v>
      </c>
      <c r="E191" s="566"/>
      <c r="F191" s="299"/>
      <c r="G191" s="299"/>
    </row>
    <row r="192" spans="1:7" ht="18" customHeight="1" thickBot="1" thickTop="1">
      <c r="A192" s="374"/>
      <c r="B192" s="285"/>
      <c r="C192" s="362"/>
      <c r="D192" s="375"/>
      <c r="E192" s="376">
        <f>+E181/E179*100</f>
        <v>100</v>
      </c>
      <c r="F192" s="376"/>
      <c r="G192" s="376"/>
    </row>
    <row r="193" spans="1:7" ht="18" customHeight="1" thickTop="1">
      <c r="A193" s="589" t="s">
        <v>629</v>
      </c>
      <c r="B193" s="586" t="s">
        <v>534</v>
      </c>
      <c r="C193" s="586"/>
      <c r="D193" s="586"/>
      <c r="E193" s="377">
        <f>+E199+E206+E212</f>
        <v>547000000</v>
      </c>
      <c r="F193" s="377"/>
      <c r="G193" s="377"/>
    </row>
    <row r="194" spans="1:7" ht="18" customHeight="1">
      <c r="A194" s="590"/>
      <c r="B194" s="392"/>
      <c r="C194" s="392"/>
      <c r="D194" s="392"/>
      <c r="E194" s="393">
        <f>+E193/E4*100</f>
        <v>2.5985319774673448</v>
      </c>
      <c r="F194" s="393"/>
      <c r="G194" s="393"/>
    </row>
    <row r="195" spans="1:7" ht="18" customHeight="1">
      <c r="A195" s="591"/>
      <c r="B195" s="587" t="s">
        <v>434</v>
      </c>
      <c r="C195" s="580" t="s">
        <v>632</v>
      </c>
      <c r="D195" s="378" t="s">
        <v>665</v>
      </c>
      <c r="E195" s="379">
        <f>+E199</f>
        <v>62000000</v>
      </c>
      <c r="F195" s="379"/>
      <c r="G195" s="379"/>
    </row>
    <row r="196" spans="1:7" ht="18" customHeight="1">
      <c r="A196" s="591"/>
      <c r="B196" s="587"/>
      <c r="C196" s="580"/>
      <c r="D196" s="378" t="s">
        <v>664</v>
      </c>
      <c r="E196" s="380">
        <f>+E195/E193*100</f>
        <v>11.3345521023766</v>
      </c>
      <c r="F196" s="380"/>
      <c r="G196" s="380"/>
    </row>
    <row r="197" spans="1:7" ht="18" customHeight="1">
      <c r="A197" s="591"/>
      <c r="B197" s="587"/>
      <c r="C197" s="580"/>
      <c r="D197" s="378" t="s">
        <v>668</v>
      </c>
      <c r="E197" s="379">
        <f>+E199</f>
        <v>62000000</v>
      </c>
      <c r="F197" s="379"/>
      <c r="G197" s="379"/>
    </row>
    <row r="198" spans="1:7" ht="18" customHeight="1">
      <c r="A198" s="591"/>
      <c r="B198" s="587"/>
      <c r="C198" s="580"/>
      <c r="D198" s="378" t="s">
        <v>664</v>
      </c>
      <c r="E198" s="380">
        <f>+E197/E195*100</f>
        <v>100</v>
      </c>
      <c r="F198" s="380"/>
      <c r="G198" s="380"/>
    </row>
    <row r="199" spans="1:8" ht="27.75" customHeight="1">
      <c r="A199" s="591"/>
      <c r="B199" s="587"/>
      <c r="C199" s="580"/>
      <c r="D199" s="381" t="s">
        <v>633</v>
      </c>
      <c r="E199" s="595">
        <f>+'recursos de Gestión '!B77+'GASTOS E INVERSION SIN GESTION'!C200</f>
        <v>62000000</v>
      </c>
      <c r="F199" s="384"/>
      <c r="G199" s="384"/>
      <c r="H199" s="124"/>
    </row>
    <row r="200" spans="1:7" ht="27.75" customHeight="1">
      <c r="A200" s="591"/>
      <c r="B200" s="587"/>
      <c r="C200" s="580"/>
      <c r="D200" s="382" t="s">
        <v>634</v>
      </c>
      <c r="E200" s="595"/>
      <c r="F200" s="384"/>
      <c r="G200" s="384"/>
    </row>
    <row r="201" spans="1:7" ht="27.75" customHeight="1">
      <c r="A201" s="591"/>
      <c r="B201" s="383"/>
      <c r="C201" s="580"/>
      <c r="D201" s="382" t="s">
        <v>664</v>
      </c>
      <c r="E201" s="384">
        <f>+E199/E197*100</f>
        <v>100</v>
      </c>
      <c r="F201" s="384"/>
      <c r="G201" s="384"/>
    </row>
    <row r="202" spans="1:7" ht="27.75" customHeight="1">
      <c r="A202" s="591"/>
      <c r="B202" s="588" t="s">
        <v>509</v>
      </c>
      <c r="C202" s="580" t="s">
        <v>630</v>
      </c>
      <c r="D202" s="382" t="s">
        <v>665</v>
      </c>
      <c r="E202" s="384">
        <f>+E206</f>
        <v>190000000</v>
      </c>
      <c r="F202" s="384"/>
      <c r="G202" s="384"/>
    </row>
    <row r="203" spans="1:7" ht="27.75" customHeight="1">
      <c r="A203" s="591"/>
      <c r="B203" s="588"/>
      <c r="C203" s="580"/>
      <c r="D203" s="382" t="s">
        <v>664</v>
      </c>
      <c r="E203" s="385">
        <f>+E202/E193*100</f>
        <v>34.73491773308958</v>
      </c>
      <c r="F203" s="385"/>
      <c r="G203" s="385"/>
    </row>
    <row r="204" spans="1:7" ht="27.75" customHeight="1">
      <c r="A204" s="591"/>
      <c r="B204" s="588"/>
      <c r="C204" s="580"/>
      <c r="D204" s="382" t="s">
        <v>669</v>
      </c>
      <c r="E204" s="384">
        <f>+E206</f>
        <v>190000000</v>
      </c>
      <c r="F204" s="384"/>
      <c r="G204" s="384"/>
    </row>
    <row r="205" spans="1:7" ht="27.75" customHeight="1">
      <c r="A205" s="591"/>
      <c r="B205" s="588"/>
      <c r="C205" s="580"/>
      <c r="D205" s="382" t="s">
        <v>664</v>
      </c>
      <c r="E205" s="385">
        <f>+E204/E202*100</f>
        <v>100</v>
      </c>
      <c r="F205" s="385"/>
      <c r="G205" s="385"/>
    </row>
    <row r="206" spans="1:7" ht="58.5" customHeight="1">
      <c r="A206" s="591"/>
      <c r="B206" s="588"/>
      <c r="C206" s="580"/>
      <c r="D206" s="382" t="s">
        <v>631</v>
      </c>
      <c r="E206" s="386">
        <f>+'recursos de Gestión '!B76+'GASTOS E INVERSION SIN GESTION'!C205</f>
        <v>190000000</v>
      </c>
      <c r="F206" s="386"/>
      <c r="G206" s="386"/>
    </row>
    <row r="207" spans="1:7" ht="24" customHeight="1">
      <c r="A207" s="591"/>
      <c r="B207" s="588"/>
      <c r="C207" s="580"/>
      <c r="D207" s="382" t="s">
        <v>664</v>
      </c>
      <c r="E207" s="387">
        <f>+E206/E204*100</f>
        <v>100</v>
      </c>
      <c r="F207" s="387"/>
      <c r="G207" s="387"/>
    </row>
    <row r="208" spans="1:7" ht="24" customHeight="1">
      <c r="A208" s="591"/>
      <c r="B208" s="588" t="s">
        <v>508</v>
      </c>
      <c r="C208" s="580" t="s">
        <v>377</v>
      </c>
      <c r="D208" s="382" t="s">
        <v>665</v>
      </c>
      <c r="E208" s="386">
        <f>+E212</f>
        <v>295000000</v>
      </c>
      <c r="F208" s="386"/>
      <c r="G208" s="386"/>
    </row>
    <row r="209" spans="1:7" ht="24" customHeight="1">
      <c r="A209" s="591"/>
      <c r="B209" s="588"/>
      <c r="C209" s="580"/>
      <c r="D209" s="382" t="s">
        <v>664</v>
      </c>
      <c r="E209" s="387">
        <f>+E208/E193*100</f>
        <v>53.93053016453382</v>
      </c>
      <c r="F209" s="387"/>
      <c r="G209" s="387"/>
    </row>
    <row r="210" spans="1:7" ht="24" customHeight="1">
      <c r="A210" s="591"/>
      <c r="B210" s="588"/>
      <c r="C210" s="580"/>
      <c r="D210" s="382" t="s">
        <v>666</v>
      </c>
      <c r="E210" s="386">
        <f>+E212</f>
        <v>295000000</v>
      </c>
      <c r="F210" s="386"/>
      <c r="G210" s="386"/>
    </row>
    <row r="211" spans="1:7" ht="24" customHeight="1">
      <c r="A211" s="591"/>
      <c r="B211" s="588"/>
      <c r="C211" s="580"/>
      <c r="D211" s="382" t="s">
        <v>664</v>
      </c>
      <c r="E211" s="387">
        <f>+E210/E208*100</f>
        <v>100</v>
      </c>
      <c r="F211" s="387"/>
      <c r="G211" s="387"/>
    </row>
    <row r="212" spans="1:7" ht="15.75" customHeight="1">
      <c r="A212" s="591"/>
      <c r="B212" s="588"/>
      <c r="C212" s="580"/>
      <c r="D212" s="388" t="s">
        <v>635</v>
      </c>
      <c r="E212" s="585">
        <f>+'recursos de Gestión '!B78+'GASTOS E INVERSION SIN GESTION'!C162</f>
        <v>295000000</v>
      </c>
      <c r="F212" s="389"/>
      <c r="G212" s="389"/>
    </row>
    <row r="213" spans="1:7" ht="17.25" customHeight="1">
      <c r="A213" s="591"/>
      <c r="B213" s="588"/>
      <c r="C213" s="580"/>
      <c r="D213" s="388" t="s">
        <v>636</v>
      </c>
      <c r="E213" s="585"/>
      <c r="F213" s="389"/>
      <c r="G213" s="389"/>
    </row>
    <row r="214" spans="1:7" ht="18.75" customHeight="1">
      <c r="A214" s="591"/>
      <c r="B214" s="588"/>
      <c r="C214" s="580"/>
      <c r="D214" s="382" t="s">
        <v>647</v>
      </c>
      <c r="E214" s="585"/>
      <c r="F214" s="389"/>
      <c r="G214" s="389"/>
    </row>
    <row r="215" spans="1:7" ht="18.75" customHeight="1" thickBot="1">
      <c r="A215" s="592"/>
      <c r="B215" s="593"/>
      <c r="C215" s="594"/>
      <c r="D215" s="390" t="s">
        <v>664</v>
      </c>
      <c r="E215" s="391">
        <f>+E212/E210*100</f>
        <v>100</v>
      </c>
      <c r="F215" s="391"/>
      <c r="G215" s="391"/>
    </row>
    <row r="216" spans="1:7" ht="8.25" customHeight="1" thickTop="1">
      <c r="A216" s="127"/>
      <c r="B216" s="127"/>
      <c r="C216" s="128"/>
      <c r="D216" s="129"/>
      <c r="E216" s="130"/>
      <c r="F216" s="130"/>
      <c r="G216" s="130"/>
    </row>
    <row r="217" spans="1:7" ht="15.75" customHeight="1">
      <c r="A217" s="542" t="s">
        <v>82</v>
      </c>
      <c r="B217" s="542"/>
      <c r="C217" s="542"/>
      <c r="D217" s="542"/>
      <c r="E217" s="542"/>
      <c r="F217" s="542"/>
      <c r="G217" s="542"/>
    </row>
    <row r="218" spans="1:7" ht="15.75" customHeight="1" thickBot="1">
      <c r="A218" s="579" t="s">
        <v>531</v>
      </c>
      <c r="B218" s="579"/>
      <c r="C218" s="579"/>
      <c r="D218" s="579"/>
      <c r="E218" s="579"/>
      <c r="F218" s="579"/>
      <c r="G218" s="579"/>
    </row>
    <row r="219" spans="1:7" ht="15.75" customHeight="1" thickBot="1" thickTop="1">
      <c r="A219" s="114" t="s">
        <v>526</v>
      </c>
      <c r="B219" s="113" t="s">
        <v>527</v>
      </c>
      <c r="C219" s="76" t="s">
        <v>64</v>
      </c>
      <c r="D219" s="76" t="s">
        <v>528</v>
      </c>
      <c r="E219" s="115">
        <v>2012</v>
      </c>
      <c r="F219" s="115"/>
      <c r="G219" s="115"/>
    </row>
    <row r="220" spans="1:7" ht="18" customHeight="1" thickTop="1">
      <c r="A220" s="583" t="s">
        <v>640</v>
      </c>
      <c r="B220" s="584"/>
      <c r="C220" s="584"/>
      <c r="D220" s="584"/>
      <c r="E220" s="584"/>
      <c r="F220" s="584"/>
      <c r="G220" s="584"/>
    </row>
    <row r="221" spans="1:7" ht="15">
      <c r="A221" s="567" t="s">
        <v>641</v>
      </c>
      <c r="B221" s="568"/>
      <c r="C221" s="568"/>
      <c r="D221" s="568"/>
      <c r="E221" s="131">
        <f>+E222+E223</f>
        <v>300000000</v>
      </c>
      <c r="F221" s="131"/>
      <c r="G221" s="131"/>
    </row>
    <row r="222" spans="1:7" ht="15">
      <c r="A222" s="567" t="s">
        <v>637</v>
      </c>
      <c r="B222" s="568"/>
      <c r="C222" s="568"/>
      <c r="D222" s="568"/>
      <c r="E222" s="131">
        <f>+'GASTOS E INVERSION SIN GESTION'!C10</f>
        <v>228700396</v>
      </c>
      <c r="F222" s="131"/>
      <c r="G222" s="131"/>
    </row>
    <row r="223" spans="1:7" ht="15.75" thickBot="1">
      <c r="A223" s="581" t="s">
        <v>97</v>
      </c>
      <c r="B223" s="582"/>
      <c r="C223" s="582"/>
      <c r="D223" s="582"/>
      <c r="E223" s="394">
        <f>+'GASTOS E INVERSION SIN GESTION'!C11</f>
        <v>71299604</v>
      </c>
      <c r="F223" s="394"/>
      <c r="G223" s="394"/>
    </row>
    <row r="224" spans="4:7" ht="15.75" thickTop="1">
      <c r="D224" t="s">
        <v>664</v>
      </c>
      <c r="E224" s="395">
        <f>+E221/E4*100</f>
        <v>1.4251546494336442</v>
      </c>
      <c r="F224" s="395"/>
      <c r="G224" s="395"/>
    </row>
  </sheetData>
  <sheetProtection/>
  <mergeCells count="80">
    <mergeCell ref="B74:B76"/>
    <mergeCell ref="C74:D74"/>
    <mergeCell ref="E127:E128"/>
    <mergeCell ref="C109:D109"/>
    <mergeCell ref="B123:B128"/>
    <mergeCell ref="B78:B86"/>
    <mergeCell ref="C78:D78"/>
    <mergeCell ref="C123:D123"/>
    <mergeCell ref="C127:C128"/>
    <mergeCell ref="D127:D128"/>
    <mergeCell ref="B145:B151"/>
    <mergeCell ref="C145:D145"/>
    <mergeCell ref="A2:G2"/>
    <mergeCell ref="B4:D4"/>
    <mergeCell ref="B5:D5"/>
    <mergeCell ref="B7:B24"/>
    <mergeCell ref="A107:A151"/>
    <mergeCell ref="B107:D107"/>
    <mergeCell ref="A105:G105"/>
    <mergeCell ref="C113:C121"/>
    <mergeCell ref="A1:G1"/>
    <mergeCell ref="C15:C16"/>
    <mergeCell ref="C18:C24"/>
    <mergeCell ref="C64:C68"/>
    <mergeCell ref="A40:C40"/>
    <mergeCell ref="A4:A38"/>
    <mergeCell ref="A46:G46"/>
    <mergeCell ref="A45:G45"/>
    <mergeCell ref="C7:C13"/>
    <mergeCell ref="C54:C60"/>
    <mergeCell ref="B109:B121"/>
    <mergeCell ref="C130:D130"/>
    <mergeCell ref="B137:B143"/>
    <mergeCell ref="C137:D137"/>
    <mergeCell ref="C141:C143"/>
    <mergeCell ref="B130:B135"/>
    <mergeCell ref="C134:C135"/>
    <mergeCell ref="D134:D135"/>
    <mergeCell ref="B202:B207"/>
    <mergeCell ref="C195:C201"/>
    <mergeCell ref="A193:A215"/>
    <mergeCell ref="B208:B215"/>
    <mergeCell ref="C208:C215"/>
    <mergeCell ref="E199:E200"/>
    <mergeCell ref="C146:C152"/>
    <mergeCell ref="A223:D223"/>
    <mergeCell ref="A220:G220"/>
    <mergeCell ref="E212:E214"/>
    <mergeCell ref="B193:D193"/>
    <mergeCell ref="A217:G217"/>
    <mergeCell ref="A218:G218"/>
    <mergeCell ref="A221:D221"/>
    <mergeCell ref="B195:B200"/>
    <mergeCell ref="C202:C207"/>
    <mergeCell ref="B159:B168"/>
    <mergeCell ref="C159:C168"/>
    <mergeCell ref="A157:A191"/>
    <mergeCell ref="A154:G154"/>
    <mergeCell ref="A155:G155"/>
    <mergeCell ref="C169:C176"/>
    <mergeCell ref="C62:D62"/>
    <mergeCell ref="B62:B72"/>
    <mergeCell ref="E173:E175"/>
    <mergeCell ref="E181:E191"/>
    <mergeCell ref="E134:E135"/>
    <mergeCell ref="A222:D222"/>
    <mergeCell ref="C177:C191"/>
    <mergeCell ref="B169:B176"/>
    <mergeCell ref="B157:D157"/>
    <mergeCell ref="B177:B191"/>
    <mergeCell ref="A104:G104"/>
    <mergeCell ref="A48:A100"/>
    <mergeCell ref="B26:B38"/>
    <mergeCell ref="C26:C38"/>
    <mergeCell ref="C84:C86"/>
    <mergeCell ref="C92:C100"/>
    <mergeCell ref="B92:B100"/>
    <mergeCell ref="B48:B60"/>
    <mergeCell ref="C48:D48"/>
    <mergeCell ref="C50:D50"/>
  </mergeCells>
  <printOptions/>
  <pageMargins left="0.984251968503937" right="0.5118110236220472" top="1.1811023622047245" bottom="0.984251968503937" header="0.31496062992125984" footer="0.31496062992125984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6"/>
  <sheetViews>
    <sheetView zoomScalePageLayoutView="0" workbookViewId="0" topLeftCell="A190">
      <selection activeCell="A214" sqref="A214"/>
    </sheetView>
  </sheetViews>
  <sheetFormatPr defaultColWidth="11.421875" defaultRowHeight="15"/>
  <cols>
    <col min="1" max="1" width="9.57421875" style="69" customWidth="1"/>
    <col min="2" max="2" width="53.28125" style="70" customWidth="1"/>
    <col min="3" max="3" width="16.8515625" style="71" customWidth="1"/>
    <col min="4" max="6" width="16.00390625" style="72" customWidth="1"/>
    <col min="7" max="7" width="16.8515625" style="72" customWidth="1"/>
    <col min="8" max="8" width="18.00390625" style="0" customWidth="1"/>
    <col min="9" max="12" width="18.57421875" style="0" customWidth="1"/>
    <col min="13" max="13" width="19.28125" style="0" bestFit="1" customWidth="1"/>
    <col min="14" max="14" width="14.140625" style="0" bestFit="1" customWidth="1"/>
  </cols>
  <sheetData>
    <row r="1" spans="1:7" ht="15">
      <c r="A1" s="633" t="s">
        <v>83</v>
      </c>
      <c r="B1" s="633"/>
      <c r="C1" s="633"/>
      <c r="D1" s="633"/>
      <c r="E1" s="633"/>
      <c r="F1" s="633"/>
      <c r="G1" s="633"/>
    </row>
    <row r="2" spans="1:7" ht="15">
      <c r="A2" s="633" t="s">
        <v>84</v>
      </c>
      <c r="B2" s="633"/>
      <c r="C2" s="633"/>
      <c r="D2" s="633"/>
      <c r="E2" s="633"/>
      <c r="F2" s="633"/>
      <c r="G2" s="633"/>
    </row>
    <row r="3" spans="1:7" ht="15.75" thickBot="1">
      <c r="A3" s="634" t="s">
        <v>499</v>
      </c>
      <c r="B3" s="634"/>
      <c r="C3" s="634"/>
      <c r="D3" s="634"/>
      <c r="E3" s="634"/>
      <c r="F3" s="634"/>
      <c r="G3" s="634"/>
    </row>
    <row r="4" spans="1:7" ht="45" customHeight="1" thickTop="1">
      <c r="A4" s="635" t="s">
        <v>85</v>
      </c>
      <c r="B4" s="637" t="s">
        <v>86</v>
      </c>
      <c r="C4" s="18" t="s">
        <v>87</v>
      </c>
      <c r="D4" s="639" t="s">
        <v>88</v>
      </c>
      <c r="E4" s="639"/>
      <c r="F4" s="639"/>
      <c r="G4" s="640"/>
    </row>
    <row r="5" spans="1:12" ht="36.75" customHeight="1">
      <c r="A5" s="636"/>
      <c r="B5" s="638"/>
      <c r="C5" s="19">
        <v>2012</v>
      </c>
      <c r="D5" s="20">
        <v>2013</v>
      </c>
      <c r="E5" s="20">
        <v>2014</v>
      </c>
      <c r="F5" s="20">
        <v>2015</v>
      </c>
      <c r="G5" s="21" t="s">
        <v>5</v>
      </c>
      <c r="I5" s="6"/>
      <c r="J5" s="6"/>
      <c r="K5" s="6"/>
      <c r="L5" s="6"/>
    </row>
    <row r="6" spans="1:13" ht="36.75" customHeight="1">
      <c r="A6" s="22"/>
      <c r="B6" s="23" t="s">
        <v>89</v>
      </c>
      <c r="C6" s="24">
        <f>+C8+C9+C12+C232</f>
        <v>16009267946.7</v>
      </c>
      <c r="D6" s="24">
        <f>+D8+D9+D12+D232</f>
        <v>15589296619.942661</v>
      </c>
      <c r="E6" s="24">
        <f>+E8+E9+E12+E232</f>
        <v>16828957487.160501</v>
      </c>
      <c r="F6" s="24">
        <f>+F8+F9+F12+F232</f>
        <v>18083051399.103703</v>
      </c>
      <c r="G6" s="25">
        <f>+C6+D6+E6+F6</f>
        <v>66510573452.90686</v>
      </c>
      <c r="H6" s="12"/>
      <c r="I6" s="6"/>
      <c r="J6" s="6"/>
      <c r="K6" s="6"/>
      <c r="L6" s="6"/>
      <c r="M6" s="6"/>
    </row>
    <row r="7" spans="1:13" ht="36.75" customHeight="1">
      <c r="A7" s="22"/>
      <c r="B7" s="23" t="s">
        <v>557</v>
      </c>
      <c r="C7" s="24">
        <f>+C6-C8-C234</f>
        <v>14815347070.7</v>
      </c>
      <c r="D7" s="24">
        <f>+D6-D8-D234</f>
        <v>14294271155.503141</v>
      </c>
      <c r="E7" s="24">
        <f>+E6-E8-E234</f>
        <v>15430768701.788752</v>
      </c>
      <c r="F7" s="24">
        <f>+F6-F8-F234</f>
        <v>16580498189.44605</v>
      </c>
      <c r="G7" s="25">
        <f>+C7+D7+E7+F7</f>
        <v>61120885117.43794</v>
      </c>
      <c r="H7" s="12"/>
      <c r="I7" s="6"/>
      <c r="J7" s="6"/>
      <c r="K7" s="6"/>
      <c r="L7" s="6"/>
      <c r="M7" s="6"/>
    </row>
    <row r="8" spans="1:13" ht="21" customHeight="1" thickBot="1">
      <c r="A8" s="26" t="s">
        <v>90</v>
      </c>
      <c r="B8" s="27" t="s">
        <v>91</v>
      </c>
      <c r="C8" s="28">
        <v>1103920876</v>
      </c>
      <c r="D8" s="29">
        <f>(+C8*108.452%)+194396</f>
        <v>1197418664.43952</v>
      </c>
      <c r="E8" s="29">
        <f>(+D8*107.952%)+182896</f>
        <v>1292820292.6357505</v>
      </c>
      <c r="F8" s="29">
        <f>(+E8*107.452%)+171396</f>
        <v>1389332656.8429666</v>
      </c>
      <c r="G8" s="30">
        <f>+C8+D8+E8+F8</f>
        <v>4983492489.918238</v>
      </c>
      <c r="H8" s="31"/>
      <c r="I8" s="31"/>
      <c r="J8" s="6"/>
      <c r="K8" s="6"/>
      <c r="L8" s="6"/>
      <c r="M8" s="6"/>
    </row>
    <row r="9" spans="1:13" ht="40.5" customHeight="1" thickBot="1">
      <c r="A9" s="32" t="s">
        <v>92</v>
      </c>
      <c r="B9" s="33" t="s">
        <v>93</v>
      </c>
      <c r="C9" s="34">
        <f>+C10+C11</f>
        <v>300000000</v>
      </c>
      <c r="D9" s="34">
        <f>+D10+D11</f>
        <v>325356000</v>
      </c>
      <c r="E9" s="34">
        <f>+E10+E11</f>
        <v>351228309.12</v>
      </c>
      <c r="F9" s="34">
        <f>+F10+F11</f>
        <v>377401842.71562237</v>
      </c>
      <c r="G9" s="35">
        <f>+G10+G11</f>
        <v>1353986151.8356223</v>
      </c>
      <c r="I9" s="12"/>
      <c r="J9" s="12"/>
      <c r="K9" s="12"/>
      <c r="M9" s="17"/>
    </row>
    <row r="10" spans="1:13" ht="21" customHeight="1">
      <c r="A10" s="36" t="s">
        <v>94</v>
      </c>
      <c r="B10" s="37" t="s">
        <v>95</v>
      </c>
      <c r="C10" s="38">
        <v>228700396</v>
      </c>
      <c r="D10" s="38">
        <f>+C10*108.452%</f>
        <v>248030153.46991998</v>
      </c>
      <c r="E10" s="38">
        <f>+D10*107.952%</f>
        <v>267753511.27384803</v>
      </c>
      <c r="F10" s="38">
        <f>+E10*107.452%</f>
        <v>287706502.93397516</v>
      </c>
      <c r="G10" s="39">
        <f>+C10+D10+E10+F10</f>
        <v>1032190563.6777432</v>
      </c>
      <c r="H10" s="12"/>
      <c r="I10" s="6"/>
      <c r="J10" s="6"/>
      <c r="K10" s="6"/>
      <c r="L10" s="6"/>
      <c r="M10" s="6"/>
    </row>
    <row r="11" spans="1:14" ht="21" customHeight="1">
      <c r="A11" s="36" t="s">
        <v>96</v>
      </c>
      <c r="B11" s="37" t="s">
        <v>97</v>
      </c>
      <c r="C11" s="38">
        <v>71299604</v>
      </c>
      <c r="D11" s="38">
        <f>+C11*108.452%</f>
        <v>77325846.53007999</v>
      </c>
      <c r="E11" s="38">
        <f>+D11*107.952%</f>
        <v>83474797.84615195</v>
      </c>
      <c r="F11" s="38">
        <f>+E11*107.452%</f>
        <v>89695339.78164719</v>
      </c>
      <c r="G11" s="39">
        <f>+C11+D11+E11+F11</f>
        <v>321795588.1578791</v>
      </c>
      <c r="H11" s="104"/>
      <c r="I11" s="104"/>
      <c r="J11" s="104"/>
      <c r="K11" s="104"/>
      <c r="L11" s="6"/>
      <c r="M11" s="6"/>
      <c r="N11" s="12"/>
    </row>
    <row r="12" spans="1:13" ht="21" customHeight="1">
      <c r="A12" s="32" t="s">
        <v>98</v>
      </c>
      <c r="B12" s="33" t="s">
        <v>99</v>
      </c>
      <c r="C12" s="34">
        <f>+C13+C46+C63+C115+C130+C147+C153+C162+C170+C180+C190+C196+C200+C205+C211+C225</f>
        <v>14515347070.7</v>
      </c>
      <c r="D12" s="34">
        <f>+D13+D46+D63+D115+D130+D147+D153+D162+D170+D180+D190+D196+D200+D205+D211+D225</f>
        <v>13968915155.503141</v>
      </c>
      <c r="E12" s="34">
        <f>+E13+E46+E63+E115+E130+E147+E153+E162+E170+E180+E190+E196+E200+E205+E211+E225</f>
        <v>15079540392.66875</v>
      </c>
      <c r="F12" s="34">
        <f>+F13+F46+F63+F115+F130+F147+F153+F162+F170+F180+F190+F196+F200+F205+F211+F225</f>
        <v>16203096346.730429</v>
      </c>
      <c r="G12" s="40">
        <f>+G13+G46+G63+G115+G130+G147+G153+G162+G170+G180+G190+G196+G200+G205+G211+G225</f>
        <v>59766898965.60233</v>
      </c>
      <c r="H12" s="12"/>
      <c r="I12" s="12"/>
      <c r="J12" s="12"/>
      <c r="K12" s="12"/>
      <c r="L12" s="6"/>
      <c r="M12" s="6"/>
    </row>
    <row r="13" spans="1:15" ht="21" customHeight="1">
      <c r="A13" s="41" t="s">
        <v>100</v>
      </c>
      <c r="B13" s="42" t="s">
        <v>101</v>
      </c>
      <c r="C13" s="43">
        <f>+C14+C36</f>
        <v>1111313458</v>
      </c>
      <c r="D13" s="43">
        <f>+D14+D36</f>
        <v>1205047275.47016</v>
      </c>
      <c r="E13" s="43">
        <f>+E14+E36</f>
        <v>1300689738.8155468</v>
      </c>
      <c r="F13" s="43">
        <f>+F14+F36</f>
        <v>1397445742.1520817</v>
      </c>
      <c r="G13" s="44">
        <f>+G14+G36</f>
        <v>5014496214.437788</v>
      </c>
      <c r="I13" s="6"/>
      <c r="J13" s="6"/>
      <c r="K13" s="6"/>
      <c r="L13" s="6"/>
      <c r="M13" s="6"/>
      <c r="N13" s="12"/>
      <c r="O13" s="12">
        <f>+M13-N13</f>
        <v>0</v>
      </c>
    </row>
    <row r="14" spans="1:13" ht="21" customHeight="1">
      <c r="A14" s="36" t="s">
        <v>102</v>
      </c>
      <c r="B14" s="37" t="s">
        <v>103</v>
      </c>
      <c r="C14" s="38">
        <f>+C15+C17+C19+C25+C28+C30+C32+C34+C39+C42+C44</f>
        <v>1111313458</v>
      </c>
      <c r="D14" s="38">
        <f>+D15+D17+D19+D25+D28+D30+D32+D34+D39+D42+D44</f>
        <v>1205047275.47016</v>
      </c>
      <c r="E14" s="38">
        <f>+E15+E17+E19+E25+E28+E30+E32+E34+E39+E42+E44</f>
        <v>1300689738.8155468</v>
      </c>
      <c r="F14" s="38">
        <f>+F15+F17+F19+F25+F28+F30+F32+F34+F39+F42+F44</f>
        <v>1397445742.1520817</v>
      </c>
      <c r="G14" s="45">
        <f>+G15+G17+G19+G25+G28+G30+G32+G34+G39+G42+G44</f>
        <v>5014496214.437788</v>
      </c>
      <c r="H14" s="31"/>
      <c r="I14" s="6"/>
      <c r="J14" s="6"/>
      <c r="K14" s="6"/>
      <c r="L14" s="6"/>
      <c r="M14" s="6"/>
    </row>
    <row r="15" spans="1:13" ht="28.5" customHeight="1">
      <c r="A15" s="46" t="s">
        <v>104</v>
      </c>
      <c r="B15" s="47" t="s">
        <v>105</v>
      </c>
      <c r="C15" s="48">
        <v>0</v>
      </c>
      <c r="D15" s="49">
        <f aca="true" t="shared" si="0" ref="D15:D72">+C15*108.452%</f>
        <v>0</v>
      </c>
      <c r="E15" s="49">
        <f aca="true" t="shared" si="1" ref="E15:E72">+D15*107.952%</f>
        <v>0</v>
      </c>
      <c r="F15" s="49">
        <f aca="true" t="shared" si="2" ref="F15:F72">+E15*107.452%</f>
        <v>0</v>
      </c>
      <c r="G15" s="39">
        <f aca="true" t="shared" si="3" ref="G15:G62">SUM(C15:F15)</f>
        <v>0</v>
      </c>
      <c r="I15" s="6">
        <f>+I13-I14</f>
        <v>0</v>
      </c>
      <c r="J15" s="6">
        <f>+J13-J14</f>
        <v>0</v>
      </c>
      <c r="K15" s="6">
        <f>+K13-K14</f>
        <v>0</v>
      </c>
      <c r="L15" s="6">
        <f>+L13-L14</f>
        <v>0</v>
      </c>
      <c r="M15" s="6">
        <f>+M13-M14</f>
        <v>0</v>
      </c>
    </row>
    <row r="16" spans="1:13" ht="21" customHeight="1">
      <c r="A16" s="46" t="s">
        <v>106</v>
      </c>
      <c r="B16" s="47" t="s">
        <v>107</v>
      </c>
      <c r="C16" s="48">
        <v>0</v>
      </c>
      <c r="D16" s="49">
        <f t="shared" si="0"/>
        <v>0</v>
      </c>
      <c r="E16" s="49">
        <f t="shared" si="1"/>
        <v>0</v>
      </c>
      <c r="F16" s="49">
        <f t="shared" si="2"/>
        <v>0</v>
      </c>
      <c r="G16" s="39">
        <f t="shared" si="3"/>
        <v>0</v>
      </c>
      <c r="I16" s="6"/>
      <c r="J16" s="6"/>
      <c r="K16" s="6"/>
      <c r="L16" s="6"/>
      <c r="M16" s="6"/>
    </row>
    <row r="17" spans="1:13" ht="15">
      <c r="A17" s="36" t="s">
        <v>108</v>
      </c>
      <c r="B17" s="37" t="s">
        <v>109</v>
      </c>
      <c r="C17" s="38">
        <f>+C18</f>
        <v>30000000</v>
      </c>
      <c r="D17" s="38">
        <f>+D18</f>
        <v>32535599.999999996</v>
      </c>
      <c r="E17" s="38">
        <f>+E18</f>
        <v>35122830.912</v>
      </c>
      <c r="F17" s="38">
        <f>+F18</f>
        <v>37740184.27156224</v>
      </c>
      <c r="G17" s="45">
        <f>+G18</f>
        <v>135398615.18356225</v>
      </c>
      <c r="H17" s="12"/>
      <c r="I17" s="50"/>
      <c r="J17" s="50"/>
      <c r="K17" s="50"/>
      <c r="L17" s="50"/>
      <c r="M17" s="50"/>
    </row>
    <row r="18" spans="1:13" ht="30">
      <c r="A18" s="46" t="s">
        <v>110</v>
      </c>
      <c r="B18" s="47" t="s">
        <v>111</v>
      </c>
      <c r="C18" s="48">
        <v>30000000</v>
      </c>
      <c r="D18" s="49">
        <f t="shared" si="0"/>
        <v>32535599.999999996</v>
      </c>
      <c r="E18" s="49">
        <f t="shared" si="1"/>
        <v>35122830.912</v>
      </c>
      <c r="F18" s="49">
        <f t="shared" si="2"/>
        <v>37740184.27156224</v>
      </c>
      <c r="G18" s="39">
        <f t="shared" si="3"/>
        <v>135398615.18356225</v>
      </c>
      <c r="H18" s="12"/>
      <c r="I18" s="6"/>
      <c r="J18" s="6"/>
      <c r="K18" s="6"/>
      <c r="L18" s="6"/>
      <c r="M18" s="6"/>
    </row>
    <row r="19" spans="1:13" ht="30">
      <c r="A19" s="46" t="s">
        <v>112</v>
      </c>
      <c r="B19" s="47" t="s">
        <v>113</v>
      </c>
      <c r="C19" s="38">
        <f>SUM(C20:C23)</f>
        <v>260700000</v>
      </c>
      <c r="D19" s="38">
        <f>SUM(D20:D23)</f>
        <v>282734364</v>
      </c>
      <c r="E19" s="38">
        <f>SUM(E20:E23)</f>
        <v>305217400.62528</v>
      </c>
      <c r="F19" s="38">
        <f>SUM(F20:F23)</f>
        <v>327962201.3198758</v>
      </c>
      <c r="G19" s="45">
        <f>SUM(G20:G23)</f>
        <v>1176613965.9451556</v>
      </c>
      <c r="H19" s="12"/>
      <c r="I19" s="6"/>
      <c r="J19" s="6"/>
      <c r="K19" s="6"/>
      <c r="L19" s="6"/>
      <c r="M19" s="6"/>
    </row>
    <row r="20" spans="1:12" ht="30">
      <c r="A20" s="46" t="s">
        <v>114</v>
      </c>
      <c r="B20" s="47" t="s">
        <v>115</v>
      </c>
      <c r="C20" s="48">
        <v>194700000</v>
      </c>
      <c r="D20" s="49">
        <f t="shared" si="0"/>
        <v>211156044</v>
      </c>
      <c r="E20" s="49">
        <f t="shared" si="1"/>
        <v>227947172.61888</v>
      </c>
      <c r="F20" s="49">
        <f t="shared" si="2"/>
        <v>244933795.92243892</v>
      </c>
      <c r="G20" s="39">
        <f t="shared" si="3"/>
        <v>878737012.5413189</v>
      </c>
      <c r="H20" s="12"/>
      <c r="K20" s="14"/>
      <c r="L20" s="12"/>
    </row>
    <row r="21" spans="1:8" ht="30">
      <c r="A21" s="46" t="s">
        <v>116</v>
      </c>
      <c r="B21" s="47" t="s">
        <v>117</v>
      </c>
      <c r="C21" s="48">
        <v>54000000</v>
      </c>
      <c r="D21" s="49">
        <f t="shared" si="0"/>
        <v>58564079.99999999</v>
      </c>
      <c r="E21" s="49">
        <f t="shared" si="1"/>
        <v>63221095.64159999</v>
      </c>
      <c r="F21" s="49">
        <f t="shared" si="2"/>
        <v>67932331.68881202</v>
      </c>
      <c r="G21" s="39">
        <f t="shared" si="3"/>
        <v>243717507.330412</v>
      </c>
      <c r="H21" s="12"/>
    </row>
    <row r="22" spans="1:8" ht="30">
      <c r="A22" s="46" t="s">
        <v>118</v>
      </c>
      <c r="B22" s="47" t="s">
        <v>119</v>
      </c>
      <c r="C22" s="48">
        <v>10000000</v>
      </c>
      <c r="D22" s="49">
        <f t="shared" si="0"/>
        <v>10845200</v>
      </c>
      <c r="E22" s="49">
        <f t="shared" si="1"/>
        <v>11707610.304</v>
      </c>
      <c r="F22" s="49">
        <f t="shared" si="2"/>
        <v>12580061.42385408</v>
      </c>
      <c r="G22" s="39">
        <f t="shared" si="3"/>
        <v>45132871.72785407</v>
      </c>
      <c r="H22" s="12"/>
    </row>
    <row r="23" spans="1:8" ht="30.75" thickBot="1">
      <c r="A23" s="64" t="s">
        <v>120</v>
      </c>
      <c r="B23" s="65" t="s">
        <v>121</v>
      </c>
      <c r="C23" s="66">
        <v>2000000</v>
      </c>
      <c r="D23" s="67">
        <f t="shared" si="0"/>
        <v>2169040</v>
      </c>
      <c r="E23" s="67">
        <f t="shared" si="1"/>
        <v>2341522.0608</v>
      </c>
      <c r="F23" s="67">
        <f t="shared" si="2"/>
        <v>2516012.284770816</v>
      </c>
      <c r="G23" s="68">
        <f t="shared" si="3"/>
        <v>9026574.345570816</v>
      </c>
      <c r="H23" s="12"/>
    </row>
    <row r="24" spans="1:8" s="78" customFormat="1" ht="16.5" thickBot="1" thickTop="1">
      <c r="A24" s="79"/>
      <c r="B24" s="80"/>
      <c r="C24" s="81"/>
      <c r="D24" s="82"/>
      <c r="E24" s="82"/>
      <c r="F24" s="82"/>
      <c r="G24" s="83"/>
      <c r="H24" s="12"/>
    </row>
    <row r="25" spans="1:8" ht="15.75" thickTop="1">
      <c r="A25" s="84" t="s">
        <v>122</v>
      </c>
      <c r="B25" s="85" t="s">
        <v>123</v>
      </c>
      <c r="C25" s="86">
        <f>+C26+C27</f>
        <v>14300000</v>
      </c>
      <c r="D25" s="86">
        <f>+D26+D27</f>
        <v>15314240</v>
      </c>
      <c r="E25" s="86">
        <f>+E26+E27</f>
        <v>16349132.3648</v>
      </c>
      <c r="F25" s="86">
        <f>+F26+F27</f>
        <v>17396073.708624896</v>
      </c>
      <c r="G25" s="87">
        <f>+G26+G27</f>
        <v>63359446.07342489</v>
      </c>
      <c r="H25" s="12"/>
    </row>
    <row r="26" spans="1:8" ht="30">
      <c r="A26" s="46" t="s">
        <v>124</v>
      </c>
      <c r="B26" s="47" t="s">
        <v>125</v>
      </c>
      <c r="C26" s="48">
        <v>12000000</v>
      </c>
      <c r="D26" s="49">
        <f t="shared" si="0"/>
        <v>13014240</v>
      </c>
      <c r="E26" s="49">
        <f t="shared" si="1"/>
        <v>14049132.3648</v>
      </c>
      <c r="F26" s="49">
        <f t="shared" si="2"/>
        <v>15096073.708624896</v>
      </c>
      <c r="G26" s="39">
        <f t="shared" si="3"/>
        <v>54159446.07342489</v>
      </c>
      <c r="H26" s="12"/>
    </row>
    <row r="27" spans="1:8" ht="30">
      <c r="A27" s="46" t="s">
        <v>126</v>
      </c>
      <c r="B27" s="47" t="s">
        <v>127</v>
      </c>
      <c r="C27" s="48">
        <v>2300000</v>
      </c>
      <c r="D27" s="48">
        <v>2300000</v>
      </c>
      <c r="E27" s="48">
        <v>2300000</v>
      </c>
      <c r="F27" s="48">
        <v>2300000</v>
      </c>
      <c r="G27" s="45">
        <f>SUM(C27:F27)</f>
        <v>9200000</v>
      </c>
      <c r="H27" s="12"/>
    </row>
    <row r="28" spans="1:8" ht="15">
      <c r="A28" s="46" t="s">
        <v>128</v>
      </c>
      <c r="B28" s="37" t="s">
        <v>129</v>
      </c>
      <c r="C28" s="38">
        <f>+C29</f>
        <v>350000000</v>
      </c>
      <c r="D28" s="51">
        <f t="shared" si="0"/>
        <v>379582000</v>
      </c>
      <c r="E28" s="51">
        <f t="shared" si="1"/>
        <v>409766360.64</v>
      </c>
      <c r="F28" s="51">
        <f t="shared" si="2"/>
        <v>440302149.83489275</v>
      </c>
      <c r="G28" s="39">
        <f t="shared" si="3"/>
        <v>1579650510.4748926</v>
      </c>
      <c r="H28" s="12"/>
    </row>
    <row r="29" spans="1:8" ht="30">
      <c r="A29" s="46" t="s">
        <v>130</v>
      </c>
      <c r="B29" s="47" t="s">
        <v>131</v>
      </c>
      <c r="C29" s="48">
        <v>350000000</v>
      </c>
      <c r="D29" s="49">
        <f t="shared" si="0"/>
        <v>379582000</v>
      </c>
      <c r="E29" s="49">
        <f t="shared" si="1"/>
        <v>409766360.64</v>
      </c>
      <c r="F29" s="49">
        <f t="shared" si="2"/>
        <v>440302149.83489275</v>
      </c>
      <c r="G29" s="39">
        <f t="shared" si="3"/>
        <v>1579650510.4748926</v>
      </c>
      <c r="H29" s="12"/>
    </row>
    <row r="30" spans="1:12" ht="15">
      <c r="A30" s="46" t="s">
        <v>132</v>
      </c>
      <c r="B30" s="37" t="s">
        <v>133</v>
      </c>
      <c r="C30" s="38">
        <f>+C31</f>
        <v>0</v>
      </c>
      <c r="D30" s="38">
        <f>+D31</f>
        <v>0</v>
      </c>
      <c r="E30" s="38">
        <f>+E31</f>
        <v>0</v>
      </c>
      <c r="F30" s="38">
        <f>+F31</f>
        <v>0</v>
      </c>
      <c r="G30" s="45">
        <f>+G31</f>
        <v>0</v>
      </c>
      <c r="H30" s="12"/>
      <c r="L30" s="12"/>
    </row>
    <row r="31" spans="1:12" ht="30">
      <c r="A31" s="46" t="s">
        <v>134</v>
      </c>
      <c r="B31" s="47" t="s">
        <v>135</v>
      </c>
      <c r="C31" s="48">
        <v>0</v>
      </c>
      <c r="D31" s="49">
        <f t="shared" si="0"/>
        <v>0</v>
      </c>
      <c r="E31" s="49">
        <f t="shared" si="1"/>
        <v>0</v>
      </c>
      <c r="F31" s="49">
        <f t="shared" si="2"/>
        <v>0</v>
      </c>
      <c r="G31" s="39">
        <f t="shared" si="3"/>
        <v>0</v>
      </c>
      <c r="H31" s="12"/>
      <c r="L31" s="12"/>
    </row>
    <row r="32" spans="1:8" ht="15">
      <c r="A32" s="46" t="s">
        <v>136</v>
      </c>
      <c r="B32" s="37" t="s">
        <v>137</v>
      </c>
      <c r="C32" s="38">
        <f>+C33</f>
        <v>75000000</v>
      </c>
      <c r="D32" s="38">
        <f>+D33</f>
        <v>81339000</v>
      </c>
      <c r="E32" s="38">
        <f>+E33</f>
        <v>87807077.28</v>
      </c>
      <c r="F32" s="38">
        <f>+F33</f>
        <v>94350460.67890559</v>
      </c>
      <c r="G32" s="45">
        <f>+G33</f>
        <v>338496537.9589056</v>
      </c>
      <c r="H32" s="12"/>
    </row>
    <row r="33" spans="1:8" ht="30">
      <c r="A33" s="46" t="s">
        <v>138</v>
      </c>
      <c r="B33" s="47" t="s">
        <v>139</v>
      </c>
      <c r="C33" s="48">
        <v>75000000</v>
      </c>
      <c r="D33" s="49">
        <f t="shared" si="0"/>
        <v>81339000</v>
      </c>
      <c r="E33" s="49">
        <f t="shared" si="1"/>
        <v>87807077.28</v>
      </c>
      <c r="F33" s="49">
        <f t="shared" si="2"/>
        <v>94350460.67890559</v>
      </c>
      <c r="G33" s="39">
        <f t="shared" si="3"/>
        <v>338496537.9589056</v>
      </c>
      <c r="H33" s="12"/>
    </row>
    <row r="34" spans="1:8" ht="30">
      <c r="A34" s="46" t="s">
        <v>140</v>
      </c>
      <c r="B34" s="37" t="s">
        <v>141</v>
      </c>
      <c r="C34" s="38">
        <f>+C35</f>
        <v>191500000</v>
      </c>
      <c r="D34" s="38">
        <f>+D35</f>
        <v>207685580</v>
      </c>
      <c r="E34" s="38">
        <f>+E35</f>
        <v>224200737.32160002</v>
      </c>
      <c r="F34" s="38">
        <f>+F35</f>
        <v>240908176.26680565</v>
      </c>
      <c r="G34" s="45">
        <f>+G35</f>
        <v>864294493.5884056</v>
      </c>
      <c r="H34" s="12"/>
    </row>
    <row r="35" spans="1:8" ht="30">
      <c r="A35" s="46" t="s">
        <v>142</v>
      </c>
      <c r="B35" s="47" t="s">
        <v>143</v>
      </c>
      <c r="C35" s="48">
        <v>191500000</v>
      </c>
      <c r="D35" s="49">
        <f t="shared" si="0"/>
        <v>207685580</v>
      </c>
      <c r="E35" s="49">
        <f t="shared" si="1"/>
        <v>224200737.32160002</v>
      </c>
      <c r="F35" s="49">
        <f t="shared" si="2"/>
        <v>240908176.26680565</v>
      </c>
      <c r="G35" s="39">
        <f t="shared" si="3"/>
        <v>864294493.5884056</v>
      </c>
      <c r="H35" s="12"/>
    </row>
    <row r="36" spans="1:8" ht="15">
      <c r="A36" s="46" t="s">
        <v>144</v>
      </c>
      <c r="B36" s="47" t="s">
        <v>145</v>
      </c>
      <c r="C36" s="48">
        <f>+C37+C38</f>
        <v>0</v>
      </c>
      <c r="D36" s="48">
        <f>+D37+D38</f>
        <v>0</v>
      </c>
      <c r="E36" s="48">
        <f>+E37+E38</f>
        <v>0</v>
      </c>
      <c r="F36" s="48">
        <f>+F37+F38</f>
        <v>0</v>
      </c>
      <c r="G36" s="45">
        <f>+G37+G38</f>
        <v>0</v>
      </c>
      <c r="H36" s="12"/>
    </row>
    <row r="37" spans="1:8" ht="30">
      <c r="A37" s="46" t="s">
        <v>146</v>
      </c>
      <c r="B37" s="47" t="s">
        <v>147</v>
      </c>
      <c r="C37" s="48">
        <v>0</v>
      </c>
      <c r="D37" s="49">
        <f t="shared" si="0"/>
        <v>0</v>
      </c>
      <c r="E37" s="49">
        <f t="shared" si="1"/>
        <v>0</v>
      </c>
      <c r="F37" s="49">
        <f t="shared" si="2"/>
        <v>0</v>
      </c>
      <c r="G37" s="39">
        <f t="shared" si="3"/>
        <v>0</v>
      </c>
      <c r="H37" s="12"/>
    </row>
    <row r="38" spans="1:8" ht="30">
      <c r="A38" s="46" t="s">
        <v>148</v>
      </c>
      <c r="B38" s="47" t="s">
        <v>149</v>
      </c>
      <c r="C38" s="48">
        <v>0</v>
      </c>
      <c r="D38" s="49">
        <f t="shared" si="0"/>
        <v>0</v>
      </c>
      <c r="E38" s="49">
        <f t="shared" si="1"/>
        <v>0</v>
      </c>
      <c r="F38" s="49">
        <f t="shared" si="2"/>
        <v>0</v>
      </c>
      <c r="G38" s="39">
        <f t="shared" si="3"/>
        <v>0</v>
      </c>
      <c r="H38" s="12"/>
    </row>
    <row r="39" spans="1:8" ht="15">
      <c r="A39" s="36" t="s">
        <v>150</v>
      </c>
      <c r="B39" s="37" t="s">
        <v>151</v>
      </c>
      <c r="C39" s="38">
        <f>+C40</f>
        <v>168813458</v>
      </c>
      <c r="D39" s="38">
        <f aca="true" t="shared" si="4" ref="D39:G40">+D40</f>
        <v>183081571.47015998</v>
      </c>
      <c r="E39" s="38">
        <f t="shared" si="4"/>
        <v>197640218.0334671</v>
      </c>
      <c r="F39" s="38">
        <f t="shared" si="4"/>
        <v>212368367.08132106</v>
      </c>
      <c r="G39" s="45">
        <f t="shared" si="4"/>
        <v>761903614.5849481</v>
      </c>
      <c r="H39" s="12"/>
    </row>
    <row r="40" spans="1:8" ht="15">
      <c r="A40" s="46" t="s">
        <v>152</v>
      </c>
      <c r="B40" s="47" t="s">
        <v>153</v>
      </c>
      <c r="C40" s="38">
        <f>+C41</f>
        <v>168813458</v>
      </c>
      <c r="D40" s="38">
        <f t="shared" si="4"/>
        <v>183081571.47015998</v>
      </c>
      <c r="E40" s="38">
        <f t="shared" si="4"/>
        <v>197640218.0334671</v>
      </c>
      <c r="F40" s="38">
        <f t="shared" si="4"/>
        <v>212368367.08132106</v>
      </c>
      <c r="G40" s="45">
        <f t="shared" si="4"/>
        <v>761903614.5849481</v>
      </c>
      <c r="H40" s="12"/>
    </row>
    <row r="41" spans="1:8" ht="30">
      <c r="A41" s="46" t="s">
        <v>154</v>
      </c>
      <c r="B41" s="47" t="s">
        <v>155</v>
      </c>
      <c r="C41" s="48">
        <v>168813458</v>
      </c>
      <c r="D41" s="49">
        <f t="shared" si="0"/>
        <v>183081571.47015998</v>
      </c>
      <c r="E41" s="49">
        <f t="shared" si="1"/>
        <v>197640218.0334671</v>
      </c>
      <c r="F41" s="49">
        <f t="shared" si="2"/>
        <v>212368367.08132106</v>
      </c>
      <c r="G41" s="39">
        <f t="shared" si="3"/>
        <v>761903614.5849481</v>
      </c>
      <c r="H41" s="12"/>
    </row>
    <row r="42" spans="1:8" ht="15">
      <c r="A42" s="36" t="s">
        <v>156</v>
      </c>
      <c r="B42" s="37" t="s">
        <v>157</v>
      </c>
      <c r="C42" s="38">
        <f>+C43</f>
        <v>11000000</v>
      </c>
      <c r="D42" s="38">
        <f>+D43</f>
        <v>11929720</v>
      </c>
      <c r="E42" s="38">
        <f>+E43</f>
        <v>12878371.3344</v>
      </c>
      <c r="F42" s="38">
        <f>+F43</f>
        <v>13838067.566239487</v>
      </c>
      <c r="G42" s="45">
        <f>+G43</f>
        <v>49646158.90063949</v>
      </c>
      <c r="H42" s="12"/>
    </row>
    <row r="43" spans="1:8" ht="30">
      <c r="A43" s="46" t="s">
        <v>158</v>
      </c>
      <c r="B43" s="47" t="s">
        <v>159</v>
      </c>
      <c r="C43" s="48">
        <v>11000000</v>
      </c>
      <c r="D43" s="49">
        <f t="shared" si="0"/>
        <v>11929720</v>
      </c>
      <c r="E43" s="49">
        <f t="shared" si="1"/>
        <v>12878371.3344</v>
      </c>
      <c r="F43" s="49">
        <f t="shared" si="2"/>
        <v>13838067.566239487</v>
      </c>
      <c r="G43" s="39">
        <f t="shared" si="3"/>
        <v>49646158.90063949</v>
      </c>
      <c r="H43" s="12"/>
    </row>
    <row r="44" spans="1:8" ht="15">
      <c r="A44" s="46" t="s">
        <v>160</v>
      </c>
      <c r="B44" s="37" t="s">
        <v>157</v>
      </c>
      <c r="C44" s="38">
        <f>+C45</f>
        <v>10000000</v>
      </c>
      <c r="D44" s="38">
        <f>+D45</f>
        <v>10845200</v>
      </c>
      <c r="E44" s="38">
        <f>+E45</f>
        <v>11707610.304</v>
      </c>
      <c r="F44" s="38">
        <f>+F45</f>
        <v>12580061.42385408</v>
      </c>
      <c r="G44" s="45">
        <f>+G45</f>
        <v>45132871.72785407</v>
      </c>
      <c r="H44" s="12"/>
    </row>
    <row r="45" spans="1:8" ht="30">
      <c r="A45" s="46" t="s">
        <v>161</v>
      </c>
      <c r="B45" s="47" t="s">
        <v>159</v>
      </c>
      <c r="C45" s="48">
        <v>10000000</v>
      </c>
      <c r="D45" s="49">
        <f t="shared" si="0"/>
        <v>10845200</v>
      </c>
      <c r="E45" s="49">
        <f t="shared" si="1"/>
        <v>11707610.304</v>
      </c>
      <c r="F45" s="49">
        <f t="shared" si="2"/>
        <v>12580061.42385408</v>
      </c>
      <c r="G45" s="39">
        <f t="shared" si="3"/>
        <v>45132871.72785407</v>
      </c>
      <c r="H45" s="12"/>
    </row>
    <row r="46" spans="1:7" ht="15.75">
      <c r="A46" s="41" t="s">
        <v>162</v>
      </c>
      <c r="B46" s="42" t="s">
        <v>163</v>
      </c>
      <c r="C46" s="43">
        <f>+C47+C51+C55+C61</f>
        <v>9145736141.2</v>
      </c>
      <c r="D46" s="43">
        <f>+D47+D51+D55+D61</f>
        <v>9918733759.854223</v>
      </c>
      <c r="E46" s="43">
        <f>+E47+E51+E55+E61</f>
        <v>10707471468.437832</v>
      </c>
      <c r="F46" s="43">
        <f>+F47+F51+F55+F61</f>
        <v>11505392242.265818</v>
      </c>
      <c r="G46" s="44">
        <f>+G47+G51+G55+G61</f>
        <v>41277333611.75788</v>
      </c>
    </row>
    <row r="47" spans="1:10" ht="15.75">
      <c r="A47" s="52" t="s">
        <v>164</v>
      </c>
      <c r="B47" s="53" t="s">
        <v>165</v>
      </c>
      <c r="C47" s="38">
        <f>+C48</f>
        <v>4368597921</v>
      </c>
      <c r="D47" s="38">
        <f>+D48</f>
        <v>4737831817.28292</v>
      </c>
      <c r="E47" s="38">
        <f>+E48</f>
        <v>5114584203.393258</v>
      </c>
      <c r="F47" s="38">
        <f>+F48</f>
        <v>5495723018.2301235</v>
      </c>
      <c r="G47" s="45">
        <f>+G48</f>
        <v>19716736959.906303</v>
      </c>
      <c r="J47" s="12"/>
    </row>
    <row r="48" spans="1:7" ht="15">
      <c r="A48" s="46" t="s">
        <v>166</v>
      </c>
      <c r="B48" s="47" t="s">
        <v>167</v>
      </c>
      <c r="C48" s="38">
        <f>+C49+C50</f>
        <v>4368597921</v>
      </c>
      <c r="D48" s="38">
        <f>+D49+D50</f>
        <v>4737831817.28292</v>
      </c>
      <c r="E48" s="38">
        <f>+E49+E50</f>
        <v>5114584203.393258</v>
      </c>
      <c r="F48" s="38">
        <f>+F49+F50</f>
        <v>5495723018.2301235</v>
      </c>
      <c r="G48" s="45">
        <f>+G49+G50</f>
        <v>19716736959.906303</v>
      </c>
    </row>
    <row r="49" spans="1:7" ht="30">
      <c r="A49" s="46" t="s">
        <v>168</v>
      </c>
      <c r="B49" s="47" t="s">
        <v>169</v>
      </c>
      <c r="C49" s="48">
        <v>4368597921</v>
      </c>
      <c r="D49" s="49">
        <f t="shared" si="0"/>
        <v>4737831817.28292</v>
      </c>
      <c r="E49" s="49">
        <f t="shared" si="1"/>
        <v>5114584203.393258</v>
      </c>
      <c r="F49" s="49">
        <f t="shared" si="2"/>
        <v>5495723018.2301235</v>
      </c>
      <c r="G49" s="39">
        <f t="shared" si="3"/>
        <v>19716736959.906303</v>
      </c>
    </row>
    <row r="50" spans="1:7" ht="30">
      <c r="A50" s="46" t="s">
        <v>170</v>
      </c>
      <c r="B50" s="47" t="s">
        <v>171</v>
      </c>
      <c r="C50" s="48">
        <v>0</v>
      </c>
      <c r="D50" s="49">
        <f t="shared" si="0"/>
        <v>0</v>
      </c>
      <c r="E50" s="49">
        <f t="shared" si="1"/>
        <v>0</v>
      </c>
      <c r="F50" s="49">
        <f t="shared" si="2"/>
        <v>0</v>
      </c>
      <c r="G50" s="39">
        <f t="shared" si="3"/>
        <v>0</v>
      </c>
    </row>
    <row r="51" spans="1:7" ht="15">
      <c r="A51" s="36" t="s">
        <v>172</v>
      </c>
      <c r="B51" s="37" t="s">
        <v>173</v>
      </c>
      <c r="C51" s="38">
        <f>+C52+C53+C54</f>
        <v>31247200</v>
      </c>
      <c r="D51" s="38">
        <f>+D52+D53+D54</f>
        <v>33888213.344</v>
      </c>
      <c r="E51" s="38">
        <f>+E52+E53+E54</f>
        <v>36583004.06911488</v>
      </c>
      <c r="F51" s="38">
        <f>+F52+F53+F54</f>
        <v>39309169.53234532</v>
      </c>
      <c r="G51" s="45">
        <f>+G52+G53+G54</f>
        <v>141027586.9454602</v>
      </c>
    </row>
    <row r="52" spans="1:7" ht="15">
      <c r="A52" s="46" t="s">
        <v>174</v>
      </c>
      <c r="B52" s="47" t="s">
        <v>169</v>
      </c>
      <c r="C52" s="48">
        <v>0</v>
      </c>
      <c r="D52" s="49">
        <f t="shared" si="0"/>
        <v>0</v>
      </c>
      <c r="E52" s="49">
        <f t="shared" si="1"/>
        <v>0</v>
      </c>
      <c r="F52" s="49">
        <f t="shared" si="2"/>
        <v>0</v>
      </c>
      <c r="G52" s="39">
        <f t="shared" si="3"/>
        <v>0</v>
      </c>
    </row>
    <row r="53" spans="1:7" ht="15">
      <c r="A53" s="46" t="s">
        <v>175</v>
      </c>
      <c r="B53" s="47" t="s">
        <v>176</v>
      </c>
      <c r="C53" s="48">
        <v>10401900</v>
      </c>
      <c r="D53" s="49">
        <f t="shared" si="0"/>
        <v>11281068.588</v>
      </c>
      <c r="E53" s="49">
        <f t="shared" si="1"/>
        <v>12178139.16211776</v>
      </c>
      <c r="F53" s="49">
        <f t="shared" si="2"/>
        <v>13085654.092478774</v>
      </c>
      <c r="G53" s="39">
        <f t="shared" si="3"/>
        <v>46946761.84259654</v>
      </c>
    </row>
    <row r="54" spans="1:7" ht="30">
      <c r="A54" s="46" t="s">
        <v>177</v>
      </c>
      <c r="B54" s="47" t="s">
        <v>178</v>
      </c>
      <c r="C54" s="48">
        <v>20845300</v>
      </c>
      <c r="D54" s="49">
        <f t="shared" si="0"/>
        <v>22607144.755999997</v>
      </c>
      <c r="E54" s="49">
        <f t="shared" si="1"/>
        <v>24404864.90699712</v>
      </c>
      <c r="F54" s="49">
        <f t="shared" si="2"/>
        <v>26223515.439866543</v>
      </c>
      <c r="G54" s="39">
        <f t="shared" si="3"/>
        <v>94080825.10286365</v>
      </c>
    </row>
    <row r="55" spans="1:7" ht="15">
      <c r="A55" s="36" t="s">
        <v>179</v>
      </c>
      <c r="B55" s="37" t="s">
        <v>180</v>
      </c>
      <c r="C55" s="38">
        <f>SUM(C56:C60)</f>
        <v>4595263666.2</v>
      </c>
      <c r="D55" s="38">
        <f>SUM(D56:D60)</f>
        <v>4983655351.267224</v>
      </c>
      <c r="E55" s="38">
        <f>SUM(E56:E60)</f>
        <v>5379955624.7999935</v>
      </c>
      <c r="F55" s="38">
        <f>SUM(F56:F60)</f>
        <v>5780869917.960089</v>
      </c>
      <c r="G55" s="45">
        <f>SUM(G56:G60)</f>
        <v>20739744560.227303</v>
      </c>
    </row>
    <row r="56" spans="1:7" ht="15">
      <c r="A56" s="46" t="s">
        <v>181</v>
      </c>
      <c r="B56" s="47" t="s">
        <v>182</v>
      </c>
      <c r="C56" s="48">
        <v>29266666</v>
      </c>
      <c r="D56" s="49">
        <f t="shared" si="0"/>
        <v>31740284.610319998</v>
      </c>
      <c r="E56" s="49">
        <f t="shared" si="1"/>
        <v>34264272.042532645</v>
      </c>
      <c r="F56" s="49">
        <f t="shared" si="2"/>
        <v>36817645.59514218</v>
      </c>
      <c r="G56" s="39">
        <f t="shared" si="3"/>
        <v>132088868.24799484</v>
      </c>
    </row>
    <row r="57" spans="1:7" ht="15">
      <c r="A57" s="46" t="s">
        <v>183</v>
      </c>
      <c r="B57" s="47" t="s">
        <v>184</v>
      </c>
      <c r="C57" s="48">
        <v>3465390174.8</v>
      </c>
      <c r="D57" s="49">
        <f t="shared" si="0"/>
        <v>3758284952.374096</v>
      </c>
      <c r="E57" s="49">
        <f t="shared" si="1"/>
        <v>4057143771.7868843</v>
      </c>
      <c r="F57" s="49">
        <f t="shared" si="2"/>
        <v>4359482125.660442</v>
      </c>
      <c r="G57" s="39">
        <f t="shared" si="3"/>
        <v>15640301024.621422</v>
      </c>
    </row>
    <row r="58" spans="1:7" ht="15">
      <c r="A58" s="46" t="s">
        <v>185</v>
      </c>
      <c r="B58" s="47" t="s">
        <v>186</v>
      </c>
      <c r="C58" s="48">
        <v>60000000</v>
      </c>
      <c r="D58" s="49">
        <f t="shared" si="0"/>
        <v>65071199.99999999</v>
      </c>
      <c r="E58" s="49">
        <f t="shared" si="1"/>
        <v>70245661.824</v>
      </c>
      <c r="F58" s="49">
        <f t="shared" si="2"/>
        <v>75480368.54312448</v>
      </c>
      <c r="G58" s="39">
        <f t="shared" si="3"/>
        <v>270797230.3671245</v>
      </c>
    </row>
    <row r="59" spans="1:7" ht="15">
      <c r="A59" s="93" t="s">
        <v>187</v>
      </c>
      <c r="B59" s="94" t="s">
        <v>188</v>
      </c>
      <c r="C59" s="95">
        <v>704475228.6</v>
      </c>
      <c r="D59" s="96">
        <f t="shared" si="0"/>
        <v>764017474.9212719</v>
      </c>
      <c r="E59" s="96">
        <f t="shared" si="1"/>
        <v>824772144.5270115</v>
      </c>
      <c r="F59" s="96">
        <f t="shared" si="2"/>
        <v>886234164.7371644</v>
      </c>
      <c r="G59" s="97">
        <f t="shared" si="3"/>
        <v>3179499012.785448</v>
      </c>
    </row>
    <row r="60" spans="1:7" ht="15">
      <c r="A60" s="46" t="s">
        <v>189</v>
      </c>
      <c r="B60" s="47" t="s">
        <v>190</v>
      </c>
      <c r="C60" s="48">
        <v>336131596.8</v>
      </c>
      <c r="D60" s="49">
        <f t="shared" si="0"/>
        <v>364541439.36153597</v>
      </c>
      <c r="E60" s="49">
        <f t="shared" si="1"/>
        <v>393529774.6195653</v>
      </c>
      <c r="F60" s="49">
        <f t="shared" si="2"/>
        <v>422855613.42421526</v>
      </c>
      <c r="G60" s="39">
        <f t="shared" si="3"/>
        <v>1517058424.2053165</v>
      </c>
    </row>
    <row r="61" spans="1:7" ht="15">
      <c r="A61" s="36" t="s">
        <v>191</v>
      </c>
      <c r="B61" s="37" t="s">
        <v>192</v>
      </c>
      <c r="C61" s="38">
        <f>+C62</f>
        <v>150627354</v>
      </c>
      <c r="D61" s="38">
        <f>+D62</f>
        <v>163358377.96008</v>
      </c>
      <c r="E61" s="38">
        <f>+E62</f>
        <v>176348636.17546555</v>
      </c>
      <c r="F61" s="38">
        <f>+F62</f>
        <v>189490136.54326123</v>
      </c>
      <c r="G61" s="45">
        <f>+G62</f>
        <v>679824504.6788068</v>
      </c>
    </row>
    <row r="62" spans="1:7" ht="30">
      <c r="A62" s="46" t="s">
        <v>193</v>
      </c>
      <c r="B62" s="47" t="s">
        <v>194</v>
      </c>
      <c r="C62" s="48">
        <v>150627354</v>
      </c>
      <c r="D62" s="49">
        <f t="shared" si="0"/>
        <v>163358377.96008</v>
      </c>
      <c r="E62" s="49">
        <f t="shared" si="1"/>
        <v>176348636.17546555</v>
      </c>
      <c r="F62" s="49">
        <f t="shared" si="2"/>
        <v>189490136.54326123</v>
      </c>
      <c r="G62" s="39">
        <f t="shared" si="3"/>
        <v>679824504.6788068</v>
      </c>
    </row>
    <row r="63" spans="1:8" ht="15.75">
      <c r="A63" s="41" t="s">
        <v>195</v>
      </c>
      <c r="B63" s="42" t="s">
        <v>196</v>
      </c>
      <c r="C63" s="43">
        <f>+C64+C67+C73+C75+C79+C81+C85+C90+C97+C99+C101</f>
        <v>897195268</v>
      </c>
      <c r="D63" s="43">
        <f>+D64+D67+D73+D75+D79+D81+D85+D90+D97+D99+D101</f>
        <v>973026212.05136</v>
      </c>
      <c r="E63" s="43">
        <f>+E64+E67+E73+E75+E79+E81+E85+E90+E97+E99+E101</f>
        <v>1050401256.4336841</v>
      </c>
      <c r="F63" s="43">
        <f>+F64+F67+F73+F75+F79+F81+F85+F90+F97+F99+F101</f>
        <v>1128677158.0631223</v>
      </c>
      <c r="G63" s="43">
        <f>+G64+G67+G73+G75+G79+G81+G85+G90+G97+G99+G101</f>
        <v>4049299894.548167</v>
      </c>
      <c r="H63" s="12"/>
    </row>
    <row r="64" spans="1:7" ht="15">
      <c r="A64" s="46" t="s">
        <v>197</v>
      </c>
      <c r="B64" s="47" t="s">
        <v>198</v>
      </c>
      <c r="C64" s="38">
        <f>+C65</f>
        <v>5000000</v>
      </c>
      <c r="D64" s="38">
        <f aca="true" t="shared" si="5" ref="D64:F65">+D65</f>
        <v>5422600</v>
      </c>
      <c r="E64" s="38">
        <f t="shared" si="5"/>
        <v>5853805.152</v>
      </c>
      <c r="F64" s="38">
        <f t="shared" si="5"/>
        <v>6290030.71192704</v>
      </c>
      <c r="G64" s="45">
        <f aca="true" t="shared" si="6" ref="G64:G87">SUM(C64:F64)</f>
        <v>22566435.863927037</v>
      </c>
    </row>
    <row r="65" spans="1:7" ht="30">
      <c r="A65" s="46" t="s">
        <v>199</v>
      </c>
      <c r="B65" s="47" t="s">
        <v>200</v>
      </c>
      <c r="C65" s="48">
        <f>+C66</f>
        <v>5000000</v>
      </c>
      <c r="D65" s="48">
        <f t="shared" si="5"/>
        <v>5422600</v>
      </c>
      <c r="E65" s="48">
        <f t="shared" si="5"/>
        <v>5853805.152</v>
      </c>
      <c r="F65" s="48">
        <f t="shared" si="5"/>
        <v>6290030.71192704</v>
      </c>
      <c r="G65" s="45">
        <f t="shared" si="6"/>
        <v>22566435.863927037</v>
      </c>
    </row>
    <row r="66" spans="1:7" ht="30">
      <c r="A66" s="46" t="s">
        <v>201</v>
      </c>
      <c r="B66" s="47" t="s">
        <v>202</v>
      </c>
      <c r="C66" s="48">
        <v>5000000</v>
      </c>
      <c r="D66" s="49">
        <f t="shared" si="0"/>
        <v>5422600</v>
      </c>
      <c r="E66" s="49">
        <f t="shared" si="1"/>
        <v>5853805.152</v>
      </c>
      <c r="F66" s="49">
        <f t="shared" si="2"/>
        <v>6290030.71192704</v>
      </c>
      <c r="G66" s="45">
        <f t="shared" si="6"/>
        <v>22566435.863927037</v>
      </c>
    </row>
    <row r="67" spans="1:7" ht="30">
      <c r="A67" s="46" t="s">
        <v>203</v>
      </c>
      <c r="B67" s="47" t="s">
        <v>204</v>
      </c>
      <c r="C67" s="38">
        <f>SUM(C68:C72)</f>
        <v>126312024</v>
      </c>
      <c r="D67" s="38">
        <f>SUM(D68:D72)</f>
        <v>136987916.26848</v>
      </c>
      <c r="E67" s="38">
        <f>SUM(E68:E72)</f>
        <v>147881195.37014952</v>
      </c>
      <c r="F67" s="38">
        <f>SUM(F68:F72)</f>
        <v>158901302.04913306</v>
      </c>
      <c r="G67" s="45">
        <f t="shared" si="6"/>
        <v>570082437.6877626</v>
      </c>
    </row>
    <row r="68" spans="1:7" ht="15">
      <c r="A68" s="46" t="s">
        <v>205</v>
      </c>
      <c r="B68" s="47" t="s">
        <v>206</v>
      </c>
      <c r="C68" s="48">
        <v>8821320</v>
      </c>
      <c r="D68" s="49">
        <f t="shared" si="0"/>
        <v>9566897.9664</v>
      </c>
      <c r="E68" s="49">
        <f t="shared" si="1"/>
        <v>10327657.692688128</v>
      </c>
      <c r="F68" s="49">
        <f t="shared" si="2"/>
        <v>11097274.743947247</v>
      </c>
      <c r="G68" s="45">
        <f t="shared" si="6"/>
        <v>39813150.40303537</v>
      </c>
    </row>
    <row r="69" spans="1:7" ht="15">
      <c r="A69" s="46" t="s">
        <v>207</v>
      </c>
      <c r="B69" s="47" t="s">
        <v>208</v>
      </c>
      <c r="C69" s="48">
        <v>8821320</v>
      </c>
      <c r="D69" s="49">
        <f t="shared" si="0"/>
        <v>9566897.9664</v>
      </c>
      <c r="E69" s="49">
        <f t="shared" si="1"/>
        <v>10327657.692688128</v>
      </c>
      <c r="F69" s="49">
        <f t="shared" si="2"/>
        <v>11097274.743947247</v>
      </c>
      <c r="G69" s="45">
        <f t="shared" si="6"/>
        <v>39813150.40303537</v>
      </c>
    </row>
    <row r="70" spans="1:7" ht="15">
      <c r="A70" s="46" t="s">
        <v>209</v>
      </c>
      <c r="B70" s="47" t="s">
        <v>210</v>
      </c>
      <c r="C70" s="48">
        <v>8821320</v>
      </c>
      <c r="D70" s="49">
        <f t="shared" si="0"/>
        <v>9566897.9664</v>
      </c>
      <c r="E70" s="49">
        <f t="shared" si="1"/>
        <v>10327657.692688128</v>
      </c>
      <c r="F70" s="49">
        <f t="shared" si="2"/>
        <v>11097274.743947247</v>
      </c>
      <c r="G70" s="45">
        <f t="shared" si="6"/>
        <v>39813150.40303537</v>
      </c>
    </row>
    <row r="71" spans="1:7" ht="30">
      <c r="A71" s="46" t="s">
        <v>211</v>
      </c>
      <c r="B71" s="47" t="s">
        <v>212</v>
      </c>
      <c r="C71" s="48">
        <v>69848064</v>
      </c>
      <c r="D71" s="49">
        <f t="shared" si="0"/>
        <v>75751622.36928</v>
      </c>
      <c r="E71" s="49">
        <f t="shared" si="1"/>
        <v>81775391.38008514</v>
      </c>
      <c r="F71" s="49">
        <f t="shared" si="2"/>
        <v>87869293.54572909</v>
      </c>
      <c r="G71" s="45">
        <f t="shared" si="6"/>
        <v>315244371.2950942</v>
      </c>
    </row>
    <row r="72" spans="1:7" ht="30">
      <c r="A72" s="46" t="s">
        <v>213</v>
      </c>
      <c r="B72" s="47" t="s">
        <v>214</v>
      </c>
      <c r="C72" s="48">
        <v>30000000</v>
      </c>
      <c r="D72" s="49">
        <f t="shared" si="0"/>
        <v>32535599.999999996</v>
      </c>
      <c r="E72" s="49">
        <f t="shared" si="1"/>
        <v>35122830.912</v>
      </c>
      <c r="F72" s="49">
        <f t="shared" si="2"/>
        <v>37740184.27156224</v>
      </c>
      <c r="G72" s="45">
        <f t="shared" si="6"/>
        <v>135398615.18356225</v>
      </c>
    </row>
    <row r="73" spans="1:7" ht="30">
      <c r="A73" s="46" t="s">
        <v>215</v>
      </c>
      <c r="B73" s="47" t="s">
        <v>216</v>
      </c>
      <c r="C73" s="38">
        <f>+C74</f>
        <v>20000000</v>
      </c>
      <c r="D73" s="38">
        <f>+D74</f>
        <v>21690400</v>
      </c>
      <c r="E73" s="38">
        <f>+E74</f>
        <v>23415220.608</v>
      </c>
      <c r="F73" s="38">
        <f>+F74</f>
        <v>25160122.84770816</v>
      </c>
      <c r="G73" s="45">
        <f t="shared" si="6"/>
        <v>90265743.45570815</v>
      </c>
    </row>
    <row r="74" spans="1:7" ht="15">
      <c r="A74" s="46" t="s">
        <v>217</v>
      </c>
      <c r="B74" s="47" t="s">
        <v>218</v>
      </c>
      <c r="C74" s="48">
        <v>20000000</v>
      </c>
      <c r="D74" s="49">
        <f aca="true" t="shared" si="7" ref="D74:D137">+C74*108.452%</f>
        <v>21690400</v>
      </c>
      <c r="E74" s="49">
        <f aca="true" t="shared" si="8" ref="E74:E137">+D74*107.952%</f>
        <v>23415220.608</v>
      </c>
      <c r="F74" s="49">
        <f aca="true" t="shared" si="9" ref="F74:F137">+E74*107.452%</f>
        <v>25160122.84770816</v>
      </c>
      <c r="G74" s="45">
        <f t="shared" si="6"/>
        <v>90265743.45570815</v>
      </c>
    </row>
    <row r="75" spans="1:7" ht="30">
      <c r="A75" s="46" t="s">
        <v>219</v>
      </c>
      <c r="B75" s="47" t="s">
        <v>220</v>
      </c>
      <c r="C75" s="38">
        <f>+C76+C77+C78</f>
        <v>348883244</v>
      </c>
      <c r="D75" s="38">
        <f>+D76+D77+D78</f>
        <v>378370855.78288</v>
      </c>
      <c r="E75" s="38">
        <f>+E76+E77+E78</f>
        <v>408458906.23473465</v>
      </c>
      <c r="F75" s="38">
        <f>+F76+F77+F78</f>
        <v>438897263.92734706</v>
      </c>
      <c r="G75" s="45">
        <f t="shared" si="6"/>
        <v>1574610269.944962</v>
      </c>
    </row>
    <row r="76" spans="1:7" ht="30">
      <c r="A76" s="46" t="s">
        <v>221</v>
      </c>
      <c r="B76" s="47" t="s">
        <v>222</v>
      </c>
      <c r="C76" s="48">
        <v>280000000</v>
      </c>
      <c r="D76" s="49">
        <f t="shared" si="7"/>
        <v>303665600</v>
      </c>
      <c r="E76" s="49">
        <f t="shared" si="8"/>
        <v>327813088.512</v>
      </c>
      <c r="F76" s="49">
        <f t="shared" si="9"/>
        <v>352241719.86791426</v>
      </c>
      <c r="G76" s="45">
        <f t="shared" si="6"/>
        <v>1263720408.3799143</v>
      </c>
    </row>
    <row r="77" spans="1:7" ht="30">
      <c r="A77" s="46" t="s">
        <v>223</v>
      </c>
      <c r="B77" s="47" t="s">
        <v>224</v>
      </c>
      <c r="C77" s="48">
        <v>54824638</v>
      </c>
      <c r="D77" s="49">
        <f t="shared" si="7"/>
        <v>59458416.40375999</v>
      </c>
      <c r="E77" s="49">
        <f t="shared" si="8"/>
        <v>64186549.67618699</v>
      </c>
      <c r="F77" s="49">
        <f t="shared" si="9"/>
        <v>68969731.35805644</v>
      </c>
      <c r="G77" s="45">
        <f t="shared" si="6"/>
        <v>247439335.43800342</v>
      </c>
    </row>
    <row r="78" spans="1:7" ht="30">
      <c r="A78" s="46" t="s">
        <v>225</v>
      </c>
      <c r="B78" s="47" t="s">
        <v>226</v>
      </c>
      <c r="C78" s="48">
        <v>14058606</v>
      </c>
      <c r="D78" s="49">
        <f t="shared" si="7"/>
        <v>15246839.37912</v>
      </c>
      <c r="E78" s="49">
        <f t="shared" si="8"/>
        <v>16459268.046547623</v>
      </c>
      <c r="F78" s="49">
        <f t="shared" si="9"/>
        <v>17685812.701376352</v>
      </c>
      <c r="G78" s="45">
        <f t="shared" si="6"/>
        <v>63450526.12704398</v>
      </c>
    </row>
    <row r="79" spans="1:7" ht="15">
      <c r="A79" s="46" t="s">
        <v>227</v>
      </c>
      <c r="B79" s="47" t="s">
        <v>228</v>
      </c>
      <c r="C79" s="48">
        <f>+C80</f>
        <v>0</v>
      </c>
      <c r="D79" s="48">
        <f>+D80</f>
        <v>0</v>
      </c>
      <c r="E79" s="48">
        <f>+E80</f>
        <v>0</v>
      </c>
      <c r="F79" s="48">
        <f>+F80</f>
        <v>0</v>
      </c>
      <c r="G79" s="45">
        <f t="shared" si="6"/>
        <v>0</v>
      </c>
    </row>
    <row r="80" spans="1:7" ht="30">
      <c r="A80" s="46" t="s">
        <v>229</v>
      </c>
      <c r="B80" s="47" t="s">
        <v>230</v>
      </c>
      <c r="C80" s="48">
        <v>0</v>
      </c>
      <c r="D80" s="49">
        <f t="shared" si="7"/>
        <v>0</v>
      </c>
      <c r="E80" s="49">
        <f t="shared" si="8"/>
        <v>0</v>
      </c>
      <c r="F80" s="49">
        <f t="shared" si="9"/>
        <v>0</v>
      </c>
      <c r="G80" s="45">
        <f t="shared" si="6"/>
        <v>0</v>
      </c>
    </row>
    <row r="81" spans="1:7" ht="30">
      <c r="A81" s="46" t="s">
        <v>231</v>
      </c>
      <c r="B81" s="47" t="s">
        <v>232</v>
      </c>
      <c r="C81" s="38">
        <f>+C82+C83+C84</f>
        <v>190000000</v>
      </c>
      <c r="D81" s="38">
        <f>+D82+D83+D84</f>
        <v>206058800</v>
      </c>
      <c r="E81" s="38">
        <f>+E82+E83+E84</f>
        <v>222444595.77600002</v>
      </c>
      <c r="F81" s="38">
        <f>+F82+F83+F84</f>
        <v>239021167.0532275</v>
      </c>
      <c r="G81" s="45">
        <f t="shared" si="6"/>
        <v>857524562.8292276</v>
      </c>
    </row>
    <row r="82" spans="1:7" ht="30">
      <c r="A82" s="46" t="s">
        <v>233</v>
      </c>
      <c r="B82" s="47" t="s">
        <v>234</v>
      </c>
      <c r="C82" s="48">
        <v>150000000</v>
      </c>
      <c r="D82" s="49">
        <f t="shared" si="7"/>
        <v>162678000</v>
      </c>
      <c r="E82" s="49">
        <f t="shared" si="8"/>
        <v>175614154.56</v>
      </c>
      <c r="F82" s="49">
        <f t="shared" si="9"/>
        <v>188700921.35781118</v>
      </c>
      <c r="G82" s="45">
        <f t="shared" si="6"/>
        <v>676993075.9178112</v>
      </c>
    </row>
    <row r="83" spans="1:7" ht="30">
      <c r="A83" s="46" t="s">
        <v>235</v>
      </c>
      <c r="B83" s="47" t="s">
        <v>236</v>
      </c>
      <c r="C83" s="48">
        <v>20000000</v>
      </c>
      <c r="D83" s="49">
        <f t="shared" si="7"/>
        <v>21690400</v>
      </c>
      <c r="E83" s="49">
        <f t="shared" si="8"/>
        <v>23415220.608</v>
      </c>
      <c r="F83" s="49">
        <f t="shared" si="9"/>
        <v>25160122.84770816</v>
      </c>
      <c r="G83" s="45">
        <f t="shared" si="6"/>
        <v>90265743.45570815</v>
      </c>
    </row>
    <row r="84" spans="1:7" ht="30">
      <c r="A84" s="46" t="s">
        <v>237</v>
      </c>
      <c r="B84" s="47" t="s">
        <v>238</v>
      </c>
      <c r="C84" s="48">
        <v>20000000</v>
      </c>
      <c r="D84" s="49">
        <f t="shared" si="7"/>
        <v>21690400</v>
      </c>
      <c r="E84" s="49">
        <f t="shared" si="8"/>
        <v>23415220.608</v>
      </c>
      <c r="F84" s="49">
        <f t="shared" si="9"/>
        <v>25160122.84770816</v>
      </c>
      <c r="G84" s="45">
        <f t="shared" si="6"/>
        <v>90265743.45570815</v>
      </c>
    </row>
    <row r="85" spans="1:7" ht="15">
      <c r="A85" s="46" t="s">
        <v>239</v>
      </c>
      <c r="B85" s="47" t="s">
        <v>240</v>
      </c>
      <c r="C85" s="38">
        <f>+C86+C87+C88+C89</f>
        <v>60000000</v>
      </c>
      <c r="D85" s="38">
        <f>+D86+D87+D88+D89</f>
        <v>65071199.99999999</v>
      </c>
      <c r="E85" s="38">
        <f>+E86+E87+E88+E89</f>
        <v>70245661.824</v>
      </c>
      <c r="F85" s="38">
        <f>+F86+F87+F88+F89</f>
        <v>75480368.54312448</v>
      </c>
      <c r="G85" s="45">
        <f t="shared" si="6"/>
        <v>270797230.3671245</v>
      </c>
    </row>
    <row r="86" spans="1:7" ht="30">
      <c r="A86" s="46" t="s">
        <v>241</v>
      </c>
      <c r="B86" s="47" t="s">
        <v>242</v>
      </c>
      <c r="C86" s="48">
        <v>30000000</v>
      </c>
      <c r="D86" s="49">
        <f t="shared" si="7"/>
        <v>32535599.999999996</v>
      </c>
      <c r="E86" s="49">
        <f t="shared" si="8"/>
        <v>35122830.912</v>
      </c>
      <c r="F86" s="49">
        <f t="shared" si="9"/>
        <v>37740184.27156224</v>
      </c>
      <c r="G86" s="45">
        <f t="shared" si="6"/>
        <v>135398615.18356225</v>
      </c>
    </row>
    <row r="87" spans="1:7" ht="30">
      <c r="A87" s="88" t="s">
        <v>243</v>
      </c>
      <c r="B87" s="89" t="s">
        <v>244</v>
      </c>
      <c r="C87" s="90">
        <v>15000000</v>
      </c>
      <c r="D87" s="91">
        <f t="shared" si="7"/>
        <v>16267799.999999998</v>
      </c>
      <c r="E87" s="91">
        <f t="shared" si="8"/>
        <v>17561415.456</v>
      </c>
      <c r="F87" s="91">
        <f t="shared" si="9"/>
        <v>18870092.13578112</v>
      </c>
      <c r="G87" s="45">
        <f t="shared" si="6"/>
        <v>67699307.59178112</v>
      </c>
    </row>
    <row r="88" spans="1:7" ht="30">
      <c r="A88" s="93" t="s">
        <v>245</v>
      </c>
      <c r="B88" s="94" t="s">
        <v>246</v>
      </c>
      <c r="C88" s="95">
        <v>15000000</v>
      </c>
      <c r="D88" s="96">
        <f t="shared" si="7"/>
        <v>16267799.999999998</v>
      </c>
      <c r="E88" s="96">
        <f t="shared" si="8"/>
        <v>17561415.456</v>
      </c>
      <c r="F88" s="96">
        <f t="shared" si="9"/>
        <v>18870092.13578112</v>
      </c>
      <c r="G88" s="97">
        <f>SUM(C88:F88)</f>
        <v>67699307.59178112</v>
      </c>
    </row>
    <row r="89" spans="1:7" ht="30">
      <c r="A89" s="46" t="s">
        <v>247</v>
      </c>
      <c r="B89" s="47" t="s">
        <v>248</v>
      </c>
      <c r="C89" s="48">
        <v>0</v>
      </c>
      <c r="D89" s="49">
        <f t="shared" si="7"/>
        <v>0</v>
      </c>
      <c r="E89" s="49">
        <f t="shared" si="8"/>
        <v>0</v>
      </c>
      <c r="F89" s="49">
        <f t="shared" si="9"/>
        <v>0</v>
      </c>
      <c r="G89" s="39">
        <f aca="true" t="shared" si="10" ref="G89:G110">SUM(C89:F89)</f>
        <v>0</v>
      </c>
    </row>
    <row r="90" spans="1:7" ht="15">
      <c r="A90" s="46" t="s">
        <v>249</v>
      </c>
      <c r="B90" s="47" t="s">
        <v>250</v>
      </c>
      <c r="C90" s="38">
        <f>+C91+C92+C93+C94+C95+C96</f>
        <v>30000000</v>
      </c>
      <c r="D90" s="38">
        <f>+D91+D92+D93+D94+D95+D96</f>
        <v>32535600</v>
      </c>
      <c r="E90" s="38">
        <f>+E91+E92+E93+E94+E95+E96</f>
        <v>35122830.912</v>
      </c>
      <c r="F90" s="38">
        <f>+F91+F92+F93+F94+F95+F96</f>
        <v>37740184.27156224</v>
      </c>
      <c r="G90" s="39">
        <f t="shared" si="10"/>
        <v>135398615.18356225</v>
      </c>
    </row>
    <row r="91" spans="1:7" ht="15">
      <c r="A91" s="46" t="s">
        <v>251</v>
      </c>
      <c r="B91" s="47" t="s">
        <v>252</v>
      </c>
      <c r="C91" s="48">
        <v>5000000</v>
      </c>
      <c r="D91" s="49">
        <f t="shared" si="7"/>
        <v>5422600</v>
      </c>
      <c r="E91" s="49">
        <f t="shared" si="8"/>
        <v>5853805.152</v>
      </c>
      <c r="F91" s="49">
        <f t="shared" si="9"/>
        <v>6290030.71192704</v>
      </c>
      <c r="G91" s="39">
        <f t="shared" si="10"/>
        <v>22566435.863927037</v>
      </c>
    </row>
    <row r="92" spans="1:7" ht="15">
      <c r="A92" s="46" t="s">
        <v>253</v>
      </c>
      <c r="B92" s="47" t="s">
        <v>254</v>
      </c>
      <c r="C92" s="48">
        <v>5000000</v>
      </c>
      <c r="D92" s="49">
        <f t="shared" si="7"/>
        <v>5422600</v>
      </c>
      <c r="E92" s="49">
        <f t="shared" si="8"/>
        <v>5853805.152</v>
      </c>
      <c r="F92" s="49">
        <f t="shared" si="9"/>
        <v>6290030.71192704</v>
      </c>
      <c r="G92" s="39">
        <f t="shared" si="10"/>
        <v>22566435.863927037</v>
      </c>
    </row>
    <row r="93" spans="1:7" ht="15">
      <c r="A93" s="46" t="s">
        <v>255</v>
      </c>
      <c r="B93" s="47" t="s">
        <v>256</v>
      </c>
      <c r="C93" s="48">
        <v>5000000</v>
      </c>
      <c r="D93" s="49">
        <f t="shared" si="7"/>
        <v>5422600</v>
      </c>
      <c r="E93" s="49">
        <f t="shared" si="8"/>
        <v>5853805.152</v>
      </c>
      <c r="F93" s="49">
        <f t="shared" si="9"/>
        <v>6290030.71192704</v>
      </c>
      <c r="G93" s="39">
        <f t="shared" si="10"/>
        <v>22566435.863927037</v>
      </c>
    </row>
    <row r="94" spans="1:7" ht="15">
      <c r="A94" s="46" t="s">
        <v>257</v>
      </c>
      <c r="B94" s="47" t="s">
        <v>258</v>
      </c>
      <c r="C94" s="48">
        <v>5000000</v>
      </c>
      <c r="D94" s="49">
        <f t="shared" si="7"/>
        <v>5422600</v>
      </c>
      <c r="E94" s="49">
        <f t="shared" si="8"/>
        <v>5853805.152</v>
      </c>
      <c r="F94" s="49">
        <f t="shared" si="9"/>
        <v>6290030.71192704</v>
      </c>
      <c r="G94" s="39">
        <f t="shared" si="10"/>
        <v>22566435.863927037</v>
      </c>
    </row>
    <row r="95" spans="1:7" ht="15">
      <c r="A95" s="46" t="s">
        <v>259</v>
      </c>
      <c r="B95" s="47" t="s">
        <v>260</v>
      </c>
      <c r="C95" s="48">
        <v>5000000</v>
      </c>
      <c r="D95" s="49">
        <f t="shared" si="7"/>
        <v>5422600</v>
      </c>
      <c r="E95" s="49">
        <f t="shared" si="8"/>
        <v>5853805.152</v>
      </c>
      <c r="F95" s="49">
        <f t="shared" si="9"/>
        <v>6290030.71192704</v>
      </c>
      <c r="G95" s="39">
        <f t="shared" si="10"/>
        <v>22566435.863927037</v>
      </c>
    </row>
    <row r="96" spans="1:7" ht="15">
      <c r="A96" s="46" t="s">
        <v>261</v>
      </c>
      <c r="B96" s="47" t="s">
        <v>262</v>
      </c>
      <c r="C96" s="48">
        <v>5000000</v>
      </c>
      <c r="D96" s="49">
        <f t="shared" si="7"/>
        <v>5422600</v>
      </c>
      <c r="E96" s="49">
        <f t="shared" si="8"/>
        <v>5853805.152</v>
      </c>
      <c r="F96" s="49">
        <f t="shared" si="9"/>
        <v>6290030.71192704</v>
      </c>
      <c r="G96" s="39">
        <f t="shared" si="10"/>
        <v>22566435.863927037</v>
      </c>
    </row>
    <row r="97" spans="1:7" ht="15">
      <c r="A97" s="46" t="s">
        <v>263</v>
      </c>
      <c r="B97" s="47" t="s">
        <v>264</v>
      </c>
      <c r="C97" s="38">
        <f>+C98</f>
        <v>25000000</v>
      </c>
      <c r="D97" s="38">
        <f>+D98</f>
        <v>27113000</v>
      </c>
      <c r="E97" s="38">
        <f>+E98</f>
        <v>29269025.76</v>
      </c>
      <c r="F97" s="38">
        <f>+F98</f>
        <v>31450153.5596352</v>
      </c>
      <c r="G97" s="39">
        <f t="shared" si="10"/>
        <v>112832179.31963521</v>
      </c>
    </row>
    <row r="98" spans="1:7" ht="30">
      <c r="A98" s="46" t="s">
        <v>265</v>
      </c>
      <c r="B98" s="47" t="s">
        <v>266</v>
      </c>
      <c r="C98" s="48">
        <v>25000000</v>
      </c>
      <c r="D98" s="49">
        <f t="shared" si="7"/>
        <v>27113000</v>
      </c>
      <c r="E98" s="49">
        <f t="shared" si="8"/>
        <v>29269025.76</v>
      </c>
      <c r="F98" s="49">
        <f t="shared" si="9"/>
        <v>31450153.5596352</v>
      </c>
      <c r="G98" s="39">
        <f t="shared" si="10"/>
        <v>112832179.31963521</v>
      </c>
    </row>
    <row r="99" spans="1:7" ht="15">
      <c r="A99" s="46" t="s">
        <v>267</v>
      </c>
      <c r="B99" s="47" t="s">
        <v>268</v>
      </c>
      <c r="C99" s="38">
        <f>+C100</f>
        <v>2000000</v>
      </c>
      <c r="D99" s="38">
        <f>+D100</f>
        <v>2169040</v>
      </c>
      <c r="E99" s="38">
        <f>+E100</f>
        <v>2341522.0608</v>
      </c>
      <c r="F99" s="38">
        <f>+F100</f>
        <v>2516012.284770816</v>
      </c>
      <c r="G99" s="39">
        <f t="shared" si="10"/>
        <v>9026574.345570816</v>
      </c>
    </row>
    <row r="100" spans="1:7" ht="15">
      <c r="A100" s="46" t="s">
        <v>269</v>
      </c>
      <c r="B100" s="47" t="s">
        <v>270</v>
      </c>
      <c r="C100" s="48">
        <v>2000000</v>
      </c>
      <c r="D100" s="49">
        <f t="shared" si="7"/>
        <v>2169040</v>
      </c>
      <c r="E100" s="49">
        <f t="shared" si="8"/>
        <v>2341522.0608</v>
      </c>
      <c r="F100" s="49">
        <f t="shared" si="9"/>
        <v>2516012.284770816</v>
      </c>
      <c r="G100" s="39">
        <f t="shared" si="10"/>
        <v>9026574.345570816</v>
      </c>
    </row>
    <row r="101" spans="1:7" ht="15">
      <c r="A101" s="36" t="s">
        <v>271</v>
      </c>
      <c r="B101" s="37" t="s">
        <v>180</v>
      </c>
      <c r="C101" s="38">
        <f>+C102+C104+C106+C108+C111</f>
        <v>90000000</v>
      </c>
      <c r="D101" s="38">
        <f>+D102+D104+D106+D108+D111</f>
        <v>97606800</v>
      </c>
      <c r="E101" s="38">
        <f>+E102+E104+E106+E108+E111</f>
        <v>105368492.736</v>
      </c>
      <c r="F101" s="38">
        <f>+F102+F104+F106+F108+F111</f>
        <v>113220552.81468672</v>
      </c>
      <c r="G101" s="39">
        <f t="shared" si="10"/>
        <v>406195845.5506867</v>
      </c>
    </row>
    <row r="102" spans="1:7" ht="30">
      <c r="A102" s="46" t="s">
        <v>272</v>
      </c>
      <c r="B102" s="47" t="s">
        <v>273</v>
      </c>
      <c r="C102" s="38">
        <f>+C103</f>
        <v>20000000</v>
      </c>
      <c r="D102" s="38">
        <f>+D103</f>
        <v>21690400</v>
      </c>
      <c r="E102" s="38">
        <f>+E103</f>
        <v>23415220.608</v>
      </c>
      <c r="F102" s="38">
        <f>+F103</f>
        <v>25160122.84770816</v>
      </c>
      <c r="G102" s="39">
        <f t="shared" si="10"/>
        <v>90265743.45570815</v>
      </c>
    </row>
    <row r="103" spans="1:7" ht="30">
      <c r="A103" s="46" t="s">
        <v>274</v>
      </c>
      <c r="B103" s="47" t="s">
        <v>275</v>
      </c>
      <c r="C103" s="48">
        <v>20000000</v>
      </c>
      <c r="D103" s="49">
        <f t="shared" si="7"/>
        <v>21690400</v>
      </c>
      <c r="E103" s="49">
        <f t="shared" si="8"/>
        <v>23415220.608</v>
      </c>
      <c r="F103" s="49">
        <f t="shared" si="9"/>
        <v>25160122.84770816</v>
      </c>
      <c r="G103" s="39">
        <f t="shared" si="10"/>
        <v>90265743.45570815</v>
      </c>
    </row>
    <row r="104" spans="1:7" ht="15">
      <c r="A104" s="46" t="s">
        <v>276</v>
      </c>
      <c r="B104" s="47" t="s">
        <v>277</v>
      </c>
      <c r="C104" s="48">
        <f>+C105</f>
        <v>20000000</v>
      </c>
      <c r="D104" s="49">
        <f t="shared" si="7"/>
        <v>21690400</v>
      </c>
      <c r="E104" s="49">
        <f t="shared" si="8"/>
        <v>23415220.608</v>
      </c>
      <c r="F104" s="49">
        <f t="shared" si="9"/>
        <v>25160122.84770816</v>
      </c>
      <c r="G104" s="39">
        <f t="shared" si="10"/>
        <v>90265743.45570815</v>
      </c>
    </row>
    <row r="105" spans="1:7" ht="30">
      <c r="A105" s="46" t="s">
        <v>278</v>
      </c>
      <c r="B105" s="47" t="s">
        <v>279</v>
      </c>
      <c r="C105" s="48">
        <v>20000000</v>
      </c>
      <c r="D105" s="49">
        <f t="shared" si="7"/>
        <v>21690400</v>
      </c>
      <c r="E105" s="49">
        <f t="shared" si="8"/>
        <v>23415220.608</v>
      </c>
      <c r="F105" s="49">
        <f t="shared" si="9"/>
        <v>25160122.84770816</v>
      </c>
      <c r="G105" s="39">
        <f t="shared" si="10"/>
        <v>90265743.45570815</v>
      </c>
    </row>
    <row r="106" spans="1:8" ht="15">
      <c r="A106" s="36" t="s">
        <v>280</v>
      </c>
      <c r="B106" s="37" t="s">
        <v>281</v>
      </c>
      <c r="C106" s="38">
        <f>+C107</f>
        <v>10000000</v>
      </c>
      <c r="D106" s="38">
        <f>+D107</f>
        <v>10845200</v>
      </c>
      <c r="E106" s="38">
        <f>+E107</f>
        <v>11707610.304</v>
      </c>
      <c r="F106" s="38">
        <f>+F107</f>
        <v>12580061.42385408</v>
      </c>
      <c r="G106" s="39">
        <f t="shared" si="10"/>
        <v>45132871.72785407</v>
      </c>
      <c r="H106" s="12"/>
    </row>
    <row r="107" spans="1:7" ht="30">
      <c r="A107" s="46" t="s">
        <v>282</v>
      </c>
      <c r="B107" s="47" t="s">
        <v>283</v>
      </c>
      <c r="C107" s="48">
        <v>10000000</v>
      </c>
      <c r="D107" s="49">
        <f t="shared" si="7"/>
        <v>10845200</v>
      </c>
      <c r="E107" s="49">
        <f t="shared" si="8"/>
        <v>11707610.304</v>
      </c>
      <c r="F107" s="49">
        <f t="shared" si="9"/>
        <v>12580061.42385408</v>
      </c>
      <c r="G107" s="39">
        <f t="shared" si="10"/>
        <v>45132871.72785407</v>
      </c>
    </row>
    <row r="108" spans="1:7" ht="30">
      <c r="A108" s="46" t="s">
        <v>284</v>
      </c>
      <c r="B108" s="47" t="s">
        <v>285</v>
      </c>
      <c r="C108" s="38">
        <f>+C109+C110</f>
        <v>0</v>
      </c>
      <c r="D108" s="38">
        <f>+D109+D110</f>
        <v>0</v>
      </c>
      <c r="E108" s="38">
        <f>+E109+E110</f>
        <v>0</v>
      </c>
      <c r="F108" s="38">
        <f>+F109+F110</f>
        <v>0</v>
      </c>
      <c r="G108" s="39">
        <f t="shared" si="10"/>
        <v>0</v>
      </c>
    </row>
    <row r="109" spans="1:7" ht="30">
      <c r="A109" s="46" t="s">
        <v>286</v>
      </c>
      <c r="B109" s="47" t="s">
        <v>287</v>
      </c>
      <c r="C109" s="48">
        <v>0</v>
      </c>
      <c r="D109" s="49">
        <f t="shared" si="7"/>
        <v>0</v>
      </c>
      <c r="E109" s="49">
        <f t="shared" si="8"/>
        <v>0</v>
      </c>
      <c r="F109" s="49">
        <f t="shared" si="9"/>
        <v>0</v>
      </c>
      <c r="G109" s="39">
        <f t="shared" si="10"/>
        <v>0</v>
      </c>
    </row>
    <row r="110" spans="1:7" ht="30">
      <c r="A110" s="46" t="s">
        <v>288</v>
      </c>
      <c r="B110" s="47" t="s">
        <v>289</v>
      </c>
      <c r="C110" s="48">
        <v>0</v>
      </c>
      <c r="D110" s="49">
        <f t="shared" si="7"/>
        <v>0</v>
      </c>
      <c r="E110" s="49">
        <f t="shared" si="8"/>
        <v>0</v>
      </c>
      <c r="F110" s="49">
        <f t="shared" si="9"/>
        <v>0</v>
      </c>
      <c r="G110" s="39">
        <f t="shared" si="10"/>
        <v>0</v>
      </c>
    </row>
    <row r="111" spans="1:7" ht="30">
      <c r="A111" s="36" t="s">
        <v>290</v>
      </c>
      <c r="B111" s="37" t="s">
        <v>232</v>
      </c>
      <c r="C111" s="38">
        <f>+C112+C113+C114</f>
        <v>40000000</v>
      </c>
      <c r="D111" s="38">
        <f>+D112+D113+D114</f>
        <v>43380800</v>
      </c>
      <c r="E111" s="38">
        <f>+E112+E113+E114</f>
        <v>46830441.216000006</v>
      </c>
      <c r="F111" s="38">
        <f>+F112+F113+F114</f>
        <v>50320245.695416324</v>
      </c>
      <c r="G111" s="39">
        <f aca="true" t="shared" si="11" ref="G111:G119">SUM(C111:F111)</f>
        <v>180531486.91141632</v>
      </c>
    </row>
    <row r="112" spans="1:7" ht="30">
      <c r="A112" s="46" t="s">
        <v>291</v>
      </c>
      <c r="B112" s="47" t="s">
        <v>234</v>
      </c>
      <c r="C112" s="48">
        <v>30000000</v>
      </c>
      <c r="D112" s="49">
        <f t="shared" si="7"/>
        <v>32535599.999999996</v>
      </c>
      <c r="E112" s="49">
        <f t="shared" si="8"/>
        <v>35122830.912</v>
      </c>
      <c r="F112" s="49">
        <f t="shared" si="9"/>
        <v>37740184.27156224</v>
      </c>
      <c r="G112" s="39">
        <f t="shared" si="11"/>
        <v>135398615.18356225</v>
      </c>
    </row>
    <row r="113" spans="1:7" ht="30">
      <c r="A113" s="46" t="s">
        <v>292</v>
      </c>
      <c r="B113" s="47" t="s">
        <v>236</v>
      </c>
      <c r="C113" s="48">
        <v>5000000</v>
      </c>
      <c r="D113" s="49">
        <f t="shared" si="7"/>
        <v>5422600</v>
      </c>
      <c r="E113" s="49">
        <f t="shared" si="8"/>
        <v>5853805.152</v>
      </c>
      <c r="F113" s="49">
        <f t="shared" si="9"/>
        <v>6290030.71192704</v>
      </c>
      <c r="G113" s="39">
        <f t="shared" si="11"/>
        <v>22566435.863927037</v>
      </c>
    </row>
    <row r="114" spans="1:7" ht="30">
      <c r="A114" s="46" t="s">
        <v>293</v>
      </c>
      <c r="B114" s="47" t="s">
        <v>238</v>
      </c>
      <c r="C114" s="48">
        <v>5000000</v>
      </c>
      <c r="D114" s="49">
        <f t="shared" si="7"/>
        <v>5422600</v>
      </c>
      <c r="E114" s="49">
        <f t="shared" si="8"/>
        <v>5853805.152</v>
      </c>
      <c r="F114" s="49">
        <f t="shared" si="9"/>
        <v>6290030.71192704</v>
      </c>
      <c r="G114" s="39">
        <f t="shared" si="11"/>
        <v>22566435.863927037</v>
      </c>
    </row>
    <row r="115" spans="1:7" ht="15">
      <c r="A115" s="54" t="s">
        <v>294</v>
      </c>
      <c r="B115" s="55" t="s">
        <v>295</v>
      </c>
      <c r="C115" s="43">
        <f>+C116+C126</f>
        <v>107582770</v>
      </c>
      <c r="D115" s="56">
        <f>+D116+D126</f>
        <v>116675665.7204</v>
      </c>
      <c r="E115" s="56">
        <f>+E116+E126</f>
        <v>125953714.6584862</v>
      </c>
      <c r="F115" s="56">
        <f>+F116+F126</f>
        <v>135339785.4748366</v>
      </c>
      <c r="G115" s="44">
        <f t="shared" si="11"/>
        <v>485551935.8537228</v>
      </c>
    </row>
    <row r="116" spans="1:7" ht="15">
      <c r="A116" s="36" t="s">
        <v>296</v>
      </c>
      <c r="B116" s="37" t="s">
        <v>297</v>
      </c>
      <c r="C116" s="38">
        <f>+C117+C121+C124</f>
        <v>87582770</v>
      </c>
      <c r="D116" s="48">
        <f>+D117+D121+D124</f>
        <v>94985265.7204</v>
      </c>
      <c r="E116" s="48">
        <f>+E117+E121+E124</f>
        <v>102538494.0504862</v>
      </c>
      <c r="F116" s="48">
        <f>+F117+F121+F124</f>
        <v>110179662.62712842</v>
      </c>
      <c r="G116" s="45">
        <f t="shared" si="11"/>
        <v>395286192.3980146</v>
      </c>
    </row>
    <row r="117" spans="1:7" ht="30">
      <c r="A117" s="88" t="s">
        <v>298</v>
      </c>
      <c r="B117" s="89" t="s">
        <v>299</v>
      </c>
      <c r="C117" s="90">
        <f>+C118+C119+C120</f>
        <v>42000000</v>
      </c>
      <c r="D117" s="91">
        <f t="shared" si="7"/>
        <v>45549840</v>
      </c>
      <c r="E117" s="91">
        <f t="shared" si="8"/>
        <v>49171963.2768</v>
      </c>
      <c r="F117" s="91">
        <f t="shared" si="9"/>
        <v>52836257.98018713</v>
      </c>
      <c r="G117" s="92">
        <f t="shared" si="11"/>
        <v>189558061.25698715</v>
      </c>
    </row>
    <row r="118" spans="1:7" ht="30">
      <c r="A118" s="93" t="s">
        <v>300</v>
      </c>
      <c r="B118" s="94" t="s">
        <v>301</v>
      </c>
      <c r="C118" s="95">
        <v>22000000</v>
      </c>
      <c r="D118" s="96">
        <f t="shared" si="7"/>
        <v>23859440</v>
      </c>
      <c r="E118" s="96">
        <f t="shared" si="8"/>
        <v>25756742.6688</v>
      </c>
      <c r="F118" s="96">
        <f t="shared" si="9"/>
        <v>27676135.132478975</v>
      </c>
      <c r="G118" s="97">
        <f t="shared" si="11"/>
        <v>99292317.80127898</v>
      </c>
    </row>
    <row r="119" spans="1:7" ht="30">
      <c r="A119" s="46" t="s">
        <v>302</v>
      </c>
      <c r="B119" s="47" t="s">
        <v>303</v>
      </c>
      <c r="C119" s="48">
        <v>10000000</v>
      </c>
      <c r="D119" s="49">
        <f t="shared" si="7"/>
        <v>10845200</v>
      </c>
      <c r="E119" s="49">
        <f t="shared" si="8"/>
        <v>11707610.304</v>
      </c>
      <c r="F119" s="49">
        <f t="shared" si="9"/>
        <v>12580061.42385408</v>
      </c>
      <c r="G119" s="39">
        <f t="shared" si="11"/>
        <v>45132871.72785407</v>
      </c>
    </row>
    <row r="120" spans="1:7" ht="30">
      <c r="A120" s="46" t="s">
        <v>304</v>
      </c>
      <c r="B120" s="47" t="s">
        <v>305</v>
      </c>
      <c r="C120" s="48">
        <v>10000000</v>
      </c>
      <c r="D120" s="49">
        <f t="shared" si="7"/>
        <v>10845200</v>
      </c>
      <c r="E120" s="49">
        <f t="shared" si="8"/>
        <v>11707610.304</v>
      </c>
      <c r="F120" s="49">
        <f t="shared" si="9"/>
        <v>12580061.42385408</v>
      </c>
      <c r="G120" s="39">
        <f aca="true" t="shared" si="12" ref="G120:G129">SUM(C120:F120)</f>
        <v>45132871.72785407</v>
      </c>
    </row>
    <row r="121" spans="1:7" ht="15">
      <c r="A121" s="46" t="s">
        <v>306</v>
      </c>
      <c r="B121" s="47" t="s">
        <v>307</v>
      </c>
      <c r="C121" s="38">
        <f>+C122+C123</f>
        <v>35582770</v>
      </c>
      <c r="D121" s="38">
        <f>+D122+D123</f>
        <v>38590225.7204</v>
      </c>
      <c r="E121" s="38">
        <f>+E122+E123</f>
        <v>41658920.4696862</v>
      </c>
      <c r="F121" s="38">
        <f>+F122+F123</f>
        <v>44763343.223087214</v>
      </c>
      <c r="G121" s="39">
        <f t="shared" si="12"/>
        <v>160595259.41317344</v>
      </c>
    </row>
    <row r="122" spans="1:7" ht="30">
      <c r="A122" s="46" t="s">
        <v>308</v>
      </c>
      <c r="B122" s="47" t="s">
        <v>309</v>
      </c>
      <c r="C122" s="48">
        <v>6082770</v>
      </c>
      <c r="D122" s="49">
        <f t="shared" si="7"/>
        <v>6596885.7204</v>
      </c>
      <c r="E122" s="49">
        <f t="shared" si="8"/>
        <v>7121470.072886208</v>
      </c>
      <c r="F122" s="49">
        <f t="shared" si="9"/>
        <v>7652162.022717687</v>
      </c>
      <c r="G122" s="39">
        <f t="shared" si="12"/>
        <v>27453287.816003896</v>
      </c>
    </row>
    <row r="123" spans="1:7" ht="30">
      <c r="A123" s="46" t="s">
        <v>310</v>
      </c>
      <c r="B123" s="47" t="s">
        <v>311</v>
      </c>
      <c r="C123" s="48">
        <v>29500000</v>
      </c>
      <c r="D123" s="49">
        <f t="shared" si="7"/>
        <v>31993339.999999996</v>
      </c>
      <c r="E123" s="49">
        <f t="shared" si="8"/>
        <v>34537450.3968</v>
      </c>
      <c r="F123" s="49">
        <f t="shared" si="9"/>
        <v>37111181.20036953</v>
      </c>
      <c r="G123" s="39">
        <f t="shared" si="12"/>
        <v>133141971.59716952</v>
      </c>
    </row>
    <row r="124" spans="1:7" ht="15">
      <c r="A124" s="46" t="s">
        <v>312</v>
      </c>
      <c r="B124" s="47" t="s">
        <v>313</v>
      </c>
      <c r="C124" s="38">
        <f>+C125</f>
        <v>10000000</v>
      </c>
      <c r="D124" s="38">
        <f>+D125</f>
        <v>10845200</v>
      </c>
      <c r="E124" s="38">
        <f>+E125</f>
        <v>11707610.304</v>
      </c>
      <c r="F124" s="38">
        <f>+F125</f>
        <v>12580061.42385408</v>
      </c>
      <c r="G124" s="39">
        <f t="shared" si="12"/>
        <v>45132871.72785407</v>
      </c>
    </row>
    <row r="125" spans="1:7" ht="30">
      <c r="A125" s="46" t="s">
        <v>314</v>
      </c>
      <c r="B125" s="47" t="s">
        <v>315</v>
      </c>
      <c r="C125" s="48">
        <v>10000000</v>
      </c>
      <c r="D125" s="49">
        <f t="shared" si="7"/>
        <v>10845200</v>
      </c>
      <c r="E125" s="49">
        <f t="shared" si="8"/>
        <v>11707610.304</v>
      </c>
      <c r="F125" s="49">
        <f t="shared" si="9"/>
        <v>12580061.42385408</v>
      </c>
      <c r="G125" s="39">
        <f t="shared" si="12"/>
        <v>45132871.72785407</v>
      </c>
    </row>
    <row r="126" spans="1:7" ht="15">
      <c r="A126" s="36" t="s">
        <v>316</v>
      </c>
      <c r="B126" s="37" t="s">
        <v>317</v>
      </c>
      <c r="C126" s="38">
        <f>+C127</f>
        <v>20000000</v>
      </c>
      <c r="D126" s="38">
        <f>+D127</f>
        <v>21690400</v>
      </c>
      <c r="E126" s="38">
        <f>+E127</f>
        <v>23415220.608</v>
      </c>
      <c r="F126" s="38">
        <f>+F127</f>
        <v>25160122.84770816</v>
      </c>
      <c r="G126" s="39">
        <f t="shared" si="12"/>
        <v>90265743.45570815</v>
      </c>
    </row>
    <row r="127" spans="1:7" ht="15">
      <c r="A127" s="46" t="s">
        <v>318</v>
      </c>
      <c r="B127" s="47" t="s">
        <v>307</v>
      </c>
      <c r="C127" s="38">
        <f>+C128+C129</f>
        <v>20000000</v>
      </c>
      <c r="D127" s="38">
        <f>+D128+D129</f>
        <v>21690400</v>
      </c>
      <c r="E127" s="38">
        <f>+E128+E129</f>
        <v>23415220.608</v>
      </c>
      <c r="F127" s="38">
        <f>+F128+F129</f>
        <v>25160122.84770816</v>
      </c>
      <c r="G127" s="39">
        <f t="shared" si="12"/>
        <v>90265743.45570815</v>
      </c>
    </row>
    <row r="128" spans="1:7" ht="30">
      <c r="A128" s="46" t="s">
        <v>319</v>
      </c>
      <c r="B128" s="47" t="s">
        <v>309</v>
      </c>
      <c r="C128" s="48">
        <v>10000000</v>
      </c>
      <c r="D128" s="49">
        <f t="shared" si="7"/>
        <v>10845200</v>
      </c>
      <c r="E128" s="49">
        <f t="shared" si="8"/>
        <v>11707610.304</v>
      </c>
      <c r="F128" s="49">
        <f t="shared" si="9"/>
        <v>12580061.42385408</v>
      </c>
      <c r="G128" s="39">
        <f t="shared" si="12"/>
        <v>45132871.72785407</v>
      </c>
    </row>
    <row r="129" spans="1:7" ht="30">
      <c r="A129" s="46" t="s">
        <v>320</v>
      </c>
      <c r="B129" s="47" t="s">
        <v>311</v>
      </c>
      <c r="C129" s="48">
        <v>10000000</v>
      </c>
      <c r="D129" s="49">
        <f t="shared" si="7"/>
        <v>10845200</v>
      </c>
      <c r="E129" s="49">
        <f t="shared" si="8"/>
        <v>11707610.304</v>
      </c>
      <c r="F129" s="49">
        <f t="shared" si="9"/>
        <v>12580061.42385408</v>
      </c>
      <c r="G129" s="39">
        <f t="shared" si="12"/>
        <v>45132871.72785407</v>
      </c>
    </row>
    <row r="130" spans="1:7" ht="15">
      <c r="A130" s="57" t="s">
        <v>321</v>
      </c>
      <c r="B130" s="55" t="s">
        <v>322</v>
      </c>
      <c r="C130" s="43">
        <f>+C131+C142</f>
        <v>90687072</v>
      </c>
      <c r="D130" s="43">
        <f>+D131+D142</f>
        <v>98351943.32544</v>
      </c>
      <c r="E130" s="43">
        <f>+E131+E142</f>
        <v>106172889.858679</v>
      </c>
      <c r="F130" s="43">
        <f>+F131+F142</f>
        <v>114084893.61094773</v>
      </c>
      <c r="G130" s="44">
        <f>+G131+G142</f>
        <v>409296798.7950668</v>
      </c>
    </row>
    <row r="131" spans="1:7" ht="15">
      <c r="A131" s="46" t="s">
        <v>323</v>
      </c>
      <c r="B131" s="47" t="s">
        <v>324</v>
      </c>
      <c r="C131" s="38">
        <f>+C132+C136+C139</f>
        <v>65687072</v>
      </c>
      <c r="D131" s="38">
        <f>+D132+D136+D139</f>
        <v>71238943.32544</v>
      </c>
      <c r="E131" s="38">
        <f>+E132+E136+E139</f>
        <v>76903864.09867899</v>
      </c>
      <c r="F131" s="38">
        <f>+F132+F136+F139</f>
        <v>82634740.05131254</v>
      </c>
      <c r="G131" s="45">
        <f>+G132+G136+G139</f>
        <v>296464619.47543156</v>
      </c>
    </row>
    <row r="132" spans="1:7" ht="30">
      <c r="A132" s="46" t="s">
        <v>325</v>
      </c>
      <c r="B132" s="47" t="s">
        <v>326</v>
      </c>
      <c r="C132" s="38">
        <f>+C133+C134+C135</f>
        <v>30000000</v>
      </c>
      <c r="D132" s="38">
        <f>+D133+D134+D135</f>
        <v>32535600</v>
      </c>
      <c r="E132" s="38">
        <f>+E133+E134+E135</f>
        <v>35122830.912</v>
      </c>
      <c r="F132" s="38">
        <f>+F133+F134+F135</f>
        <v>37740184.27156223</v>
      </c>
      <c r="G132" s="45">
        <f>+G133+G134+G135</f>
        <v>135398615.18356225</v>
      </c>
    </row>
    <row r="133" spans="1:7" ht="30">
      <c r="A133" s="46" t="s">
        <v>327</v>
      </c>
      <c r="B133" s="47" t="s">
        <v>328</v>
      </c>
      <c r="C133" s="48">
        <v>8800000</v>
      </c>
      <c r="D133" s="49">
        <f t="shared" si="7"/>
        <v>9543776</v>
      </c>
      <c r="E133" s="49">
        <f t="shared" si="8"/>
        <v>10302697.06752</v>
      </c>
      <c r="F133" s="49">
        <f t="shared" si="9"/>
        <v>11070454.05299159</v>
      </c>
      <c r="G133" s="39">
        <f>SUM(C133:F133)</f>
        <v>39716927.12051159</v>
      </c>
    </row>
    <row r="134" spans="1:7" ht="30">
      <c r="A134" s="46" t="s">
        <v>329</v>
      </c>
      <c r="B134" s="47" t="s">
        <v>330</v>
      </c>
      <c r="C134" s="48">
        <v>8800000</v>
      </c>
      <c r="D134" s="49">
        <f t="shared" si="7"/>
        <v>9543776</v>
      </c>
      <c r="E134" s="49">
        <f t="shared" si="8"/>
        <v>10302697.06752</v>
      </c>
      <c r="F134" s="49">
        <f t="shared" si="9"/>
        <v>11070454.05299159</v>
      </c>
      <c r="G134" s="39">
        <f>SUM(C134:F134)</f>
        <v>39716927.12051159</v>
      </c>
    </row>
    <row r="135" spans="1:7" ht="30">
      <c r="A135" s="46" t="s">
        <v>331</v>
      </c>
      <c r="B135" s="47" t="s">
        <v>332</v>
      </c>
      <c r="C135" s="48">
        <v>12400000</v>
      </c>
      <c r="D135" s="49">
        <f t="shared" si="7"/>
        <v>13448048</v>
      </c>
      <c r="E135" s="49">
        <f t="shared" si="8"/>
        <v>14517436.77696</v>
      </c>
      <c r="F135" s="49">
        <f t="shared" si="9"/>
        <v>15599276.165579058</v>
      </c>
      <c r="G135" s="39">
        <f>SUM(C135:F135)</f>
        <v>55964760.94253906</v>
      </c>
    </row>
    <row r="136" spans="1:7" ht="15">
      <c r="A136" s="46" t="s">
        <v>333</v>
      </c>
      <c r="B136" s="47" t="s">
        <v>334</v>
      </c>
      <c r="C136" s="38">
        <f>+C137+C138</f>
        <v>15180000</v>
      </c>
      <c r="D136" s="38">
        <f>+D137+D138</f>
        <v>16463013.6</v>
      </c>
      <c r="E136" s="38">
        <f>+E137+E138</f>
        <v>17772152.441472</v>
      </c>
      <c r="F136" s="38">
        <f>+F137+F138</f>
        <v>19096533.241410494</v>
      </c>
      <c r="G136" s="45">
        <f>+G137+G138</f>
        <v>68511699.28288248</v>
      </c>
    </row>
    <row r="137" spans="1:7" ht="30">
      <c r="A137" s="46" t="s">
        <v>335</v>
      </c>
      <c r="B137" s="47" t="s">
        <v>336</v>
      </c>
      <c r="C137" s="48">
        <v>5180000</v>
      </c>
      <c r="D137" s="49">
        <f t="shared" si="7"/>
        <v>5617813.6</v>
      </c>
      <c r="E137" s="49">
        <f t="shared" si="8"/>
        <v>6064542.137472</v>
      </c>
      <c r="F137" s="49">
        <f t="shared" si="9"/>
        <v>6516471.817556413</v>
      </c>
      <c r="G137" s="39">
        <f>SUM(C137:F137)</f>
        <v>23378827.55502841</v>
      </c>
    </row>
    <row r="138" spans="1:7" ht="30">
      <c r="A138" s="46" t="s">
        <v>337</v>
      </c>
      <c r="B138" s="47" t="s">
        <v>338</v>
      </c>
      <c r="C138" s="48">
        <v>10000000</v>
      </c>
      <c r="D138" s="49">
        <f aca="true" t="shared" si="13" ref="D138:D202">+C138*108.452%</f>
        <v>10845200</v>
      </c>
      <c r="E138" s="49">
        <f aca="true" t="shared" si="14" ref="E138:E202">+D138*107.952%</f>
        <v>11707610.304</v>
      </c>
      <c r="F138" s="49">
        <f aca="true" t="shared" si="15" ref="F138:F202">+E138*107.452%</f>
        <v>12580061.42385408</v>
      </c>
      <c r="G138" s="39">
        <f aca="true" t="shared" si="16" ref="G138:G202">SUM(C138:F138)</f>
        <v>45132871.72785407</v>
      </c>
    </row>
    <row r="139" spans="1:7" ht="30">
      <c r="A139" s="46" t="s">
        <v>339</v>
      </c>
      <c r="B139" s="47" t="s">
        <v>340</v>
      </c>
      <c r="C139" s="38">
        <f>+C140+C141</f>
        <v>20507072</v>
      </c>
      <c r="D139" s="38">
        <f>+D140+D141</f>
        <v>22240329.72544</v>
      </c>
      <c r="E139" s="38">
        <f>+E140+E141</f>
        <v>24008880.74520699</v>
      </c>
      <c r="F139" s="38">
        <f>+F140+F141</f>
        <v>25798022.538339812</v>
      </c>
      <c r="G139" s="45">
        <f>+G140+G141</f>
        <v>92554305.0089868</v>
      </c>
    </row>
    <row r="140" spans="1:7" ht="30">
      <c r="A140" s="46" t="s">
        <v>341</v>
      </c>
      <c r="B140" s="47" t="s">
        <v>342</v>
      </c>
      <c r="C140" s="48">
        <v>17100000</v>
      </c>
      <c r="D140" s="49">
        <f t="shared" si="13"/>
        <v>18545292</v>
      </c>
      <c r="E140" s="49">
        <f t="shared" si="14"/>
        <v>20020013.61984</v>
      </c>
      <c r="F140" s="49">
        <f t="shared" si="15"/>
        <v>21511905.034790475</v>
      </c>
      <c r="G140" s="39">
        <f t="shared" si="16"/>
        <v>77177210.65463047</v>
      </c>
    </row>
    <row r="141" spans="1:7" ht="30">
      <c r="A141" s="46" t="s">
        <v>343</v>
      </c>
      <c r="B141" s="47" t="s">
        <v>344</v>
      </c>
      <c r="C141" s="48">
        <v>3407072</v>
      </c>
      <c r="D141" s="49">
        <f t="shared" si="13"/>
        <v>3695037.7254399997</v>
      </c>
      <c r="E141" s="49">
        <f t="shared" si="14"/>
        <v>3988867.1253669886</v>
      </c>
      <c r="F141" s="49">
        <f t="shared" si="15"/>
        <v>4286117.503549336</v>
      </c>
      <c r="G141" s="39">
        <f t="shared" si="16"/>
        <v>15377094.354356326</v>
      </c>
    </row>
    <row r="142" spans="1:7" ht="15">
      <c r="A142" s="36" t="s">
        <v>345</v>
      </c>
      <c r="B142" s="37" t="s">
        <v>346</v>
      </c>
      <c r="C142" s="38">
        <f>+C143+C145</f>
        <v>25000000</v>
      </c>
      <c r="D142" s="38">
        <f>+D143+D145</f>
        <v>27113000</v>
      </c>
      <c r="E142" s="38">
        <f>+E143+E145</f>
        <v>29269025.759999998</v>
      </c>
      <c r="F142" s="38">
        <f>+F143+F145</f>
        <v>31450153.5596352</v>
      </c>
      <c r="G142" s="45">
        <f>+G143+G145</f>
        <v>112832179.3196352</v>
      </c>
    </row>
    <row r="143" spans="1:7" ht="15">
      <c r="A143" s="46" t="s">
        <v>347</v>
      </c>
      <c r="B143" s="47" t="s">
        <v>334</v>
      </c>
      <c r="C143" s="48">
        <f>+C144</f>
        <v>15000000</v>
      </c>
      <c r="D143" s="48">
        <f>+D144</f>
        <v>16267799.999999998</v>
      </c>
      <c r="E143" s="48">
        <f>+E144</f>
        <v>17561415.456</v>
      </c>
      <c r="F143" s="48">
        <f>+F144</f>
        <v>18870092.13578112</v>
      </c>
      <c r="G143" s="45">
        <f>+G144</f>
        <v>67699307.59178112</v>
      </c>
    </row>
    <row r="144" spans="1:7" ht="30">
      <c r="A144" s="46" t="s">
        <v>348</v>
      </c>
      <c r="B144" s="47" t="s">
        <v>338</v>
      </c>
      <c r="C144" s="48">
        <v>15000000</v>
      </c>
      <c r="D144" s="49">
        <f t="shared" si="13"/>
        <v>16267799.999999998</v>
      </c>
      <c r="E144" s="49">
        <f t="shared" si="14"/>
        <v>17561415.456</v>
      </c>
      <c r="F144" s="49">
        <f t="shared" si="15"/>
        <v>18870092.13578112</v>
      </c>
      <c r="G144" s="39">
        <f t="shared" si="16"/>
        <v>67699307.59178112</v>
      </c>
    </row>
    <row r="145" spans="1:7" ht="30">
      <c r="A145" s="46" t="s">
        <v>349</v>
      </c>
      <c r="B145" s="47" t="s">
        <v>340</v>
      </c>
      <c r="C145" s="38">
        <f>+C146</f>
        <v>10000000</v>
      </c>
      <c r="D145" s="38">
        <f>+D146</f>
        <v>10845200</v>
      </c>
      <c r="E145" s="38">
        <f>+E146</f>
        <v>11707610.304</v>
      </c>
      <c r="F145" s="38">
        <f>+F146</f>
        <v>12580061.42385408</v>
      </c>
      <c r="G145" s="45">
        <f>+G146</f>
        <v>45132871.72785407</v>
      </c>
    </row>
    <row r="146" spans="1:7" ht="30">
      <c r="A146" s="46" t="s">
        <v>350</v>
      </c>
      <c r="B146" s="47" t="s">
        <v>342</v>
      </c>
      <c r="C146" s="48">
        <v>10000000</v>
      </c>
      <c r="D146" s="49">
        <f t="shared" si="13"/>
        <v>10845200</v>
      </c>
      <c r="E146" s="49">
        <f t="shared" si="14"/>
        <v>11707610.304</v>
      </c>
      <c r="F146" s="49">
        <f t="shared" si="15"/>
        <v>12580061.42385408</v>
      </c>
      <c r="G146" s="39">
        <f t="shared" si="16"/>
        <v>45132871.72785407</v>
      </c>
    </row>
    <row r="147" spans="1:7" ht="15">
      <c r="A147" s="58" t="s">
        <v>351</v>
      </c>
      <c r="B147" s="59" t="s">
        <v>352</v>
      </c>
      <c r="C147" s="60">
        <f>+C148+C149+C150</f>
        <v>55290287</v>
      </c>
      <c r="D147" s="60">
        <f>+D148+D149+D150</f>
        <v>59963422.057239994</v>
      </c>
      <c r="E147" s="60">
        <f>+E148+E149+E150</f>
        <v>64731713.37923172</v>
      </c>
      <c r="F147" s="60">
        <f>+F148+F149+F150</f>
        <v>69555520.66025206</v>
      </c>
      <c r="G147" s="61">
        <f>+G148+G149+G150</f>
        <v>249540943.0967238</v>
      </c>
    </row>
    <row r="148" spans="1:7" ht="30">
      <c r="A148" s="46" t="s">
        <v>353</v>
      </c>
      <c r="B148" s="47" t="s">
        <v>354</v>
      </c>
      <c r="C148" s="48">
        <v>24290287</v>
      </c>
      <c r="D148" s="49">
        <f t="shared" si="13"/>
        <v>26343302.057239998</v>
      </c>
      <c r="E148" s="49">
        <f t="shared" si="14"/>
        <v>28438121.436831724</v>
      </c>
      <c r="F148" s="49">
        <f t="shared" si="15"/>
        <v>30557330.246304423</v>
      </c>
      <c r="G148" s="39">
        <f t="shared" si="16"/>
        <v>109629040.74037614</v>
      </c>
    </row>
    <row r="149" spans="1:7" ht="30">
      <c r="A149" s="46" t="s">
        <v>355</v>
      </c>
      <c r="B149" s="47" t="s">
        <v>356</v>
      </c>
      <c r="C149" s="48">
        <v>21000000</v>
      </c>
      <c r="D149" s="49">
        <f t="shared" si="13"/>
        <v>22774920</v>
      </c>
      <c r="E149" s="49">
        <f t="shared" si="14"/>
        <v>24585981.6384</v>
      </c>
      <c r="F149" s="49">
        <f t="shared" si="15"/>
        <v>26418128.990093566</v>
      </c>
      <c r="G149" s="39">
        <f t="shared" si="16"/>
        <v>94779030.62849358</v>
      </c>
    </row>
    <row r="150" spans="1:7" ht="30.75" thickBot="1">
      <c r="A150" s="88" t="s">
        <v>357</v>
      </c>
      <c r="B150" s="89" t="s">
        <v>609</v>
      </c>
      <c r="C150" s="90">
        <f>+C152</f>
        <v>10000000</v>
      </c>
      <c r="D150" s="91">
        <f t="shared" si="13"/>
        <v>10845200</v>
      </c>
      <c r="E150" s="91">
        <f t="shared" si="14"/>
        <v>11707610.304</v>
      </c>
      <c r="F150" s="91">
        <f t="shared" si="15"/>
        <v>12580061.42385408</v>
      </c>
      <c r="G150" s="92">
        <f t="shared" si="16"/>
        <v>45132871.72785407</v>
      </c>
    </row>
    <row r="151" spans="1:7" ht="15.75" thickTop="1">
      <c r="A151" s="98"/>
      <c r="B151" s="99"/>
      <c r="C151" s="100"/>
      <c r="D151" s="101"/>
      <c r="E151" s="101"/>
      <c r="F151" s="101"/>
      <c r="G151" s="102"/>
    </row>
    <row r="152" spans="1:7" ht="30">
      <c r="A152" s="93" t="s">
        <v>358</v>
      </c>
      <c r="B152" s="94" t="s">
        <v>359</v>
      </c>
      <c r="C152" s="95">
        <v>10000000</v>
      </c>
      <c r="D152" s="96">
        <f t="shared" si="13"/>
        <v>10845200</v>
      </c>
      <c r="E152" s="96">
        <f t="shared" si="14"/>
        <v>11707610.304</v>
      </c>
      <c r="F152" s="96">
        <f t="shared" si="15"/>
        <v>12580061.42385408</v>
      </c>
      <c r="G152" s="97">
        <f t="shared" si="16"/>
        <v>45132871.72785407</v>
      </c>
    </row>
    <row r="153" spans="1:7" ht="15">
      <c r="A153" s="58" t="s">
        <v>360</v>
      </c>
      <c r="B153" s="59" t="s">
        <v>361</v>
      </c>
      <c r="C153" s="60">
        <f>+C154+C155+C156+C157+C159</f>
        <v>170800000</v>
      </c>
      <c r="D153" s="60">
        <f>+D154+D155+D156+D157+D159</f>
        <v>185236016</v>
      </c>
      <c r="E153" s="60">
        <f>+E154+E155+E156+E157+E159</f>
        <v>199965983.99231997</v>
      </c>
      <c r="F153" s="60">
        <f>+F154+F155+F156+F157+F159</f>
        <v>214867449.11942765</v>
      </c>
      <c r="G153" s="61">
        <f>+G154+G155+G156+G157+G159</f>
        <v>770869449.1117476</v>
      </c>
    </row>
    <row r="154" spans="1:7" ht="30">
      <c r="A154" s="46" t="s">
        <v>362</v>
      </c>
      <c r="B154" s="47" t="s">
        <v>363</v>
      </c>
      <c r="C154" s="48">
        <v>50800000</v>
      </c>
      <c r="D154" s="49">
        <f t="shared" si="13"/>
        <v>55093616</v>
      </c>
      <c r="E154" s="49">
        <f t="shared" si="14"/>
        <v>59474660.34432</v>
      </c>
      <c r="F154" s="49">
        <f t="shared" si="15"/>
        <v>63906712.033178724</v>
      </c>
      <c r="G154" s="39">
        <f t="shared" si="16"/>
        <v>229274988.37749872</v>
      </c>
    </row>
    <row r="155" spans="1:7" ht="30">
      <c r="A155" s="46" t="s">
        <v>364</v>
      </c>
      <c r="B155" s="47" t="s">
        <v>365</v>
      </c>
      <c r="C155" s="48">
        <v>80000000</v>
      </c>
      <c r="D155" s="49">
        <f t="shared" si="13"/>
        <v>86761600</v>
      </c>
      <c r="E155" s="49">
        <f t="shared" si="14"/>
        <v>93660882.432</v>
      </c>
      <c r="F155" s="49">
        <f t="shared" si="15"/>
        <v>100640491.39083263</v>
      </c>
      <c r="G155" s="39">
        <f t="shared" si="16"/>
        <v>361062973.8228326</v>
      </c>
    </row>
    <row r="156" spans="1:7" ht="30">
      <c r="A156" s="46" t="s">
        <v>366</v>
      </c>
      <c r="B156" s="47" t="s">
        <v>367</v>
      </c>
      <c r="C156" s="48">
        <v>10000000</v>
      </c>
      <c r="D156" s="49">
        <f t="shared" si="13"/>
        <v>10845200</v>
      </c>
      <c r="E156" s="49">
        <f t="shared" si="14"/>
        <v>11707610.304</v>
      </c>
      <c r="F156" s="49">
        <f t="shared" si="15"/>
        <v>12580061.42385408</v>
      </c>
      <c r="G156" s="39">
        <f t="shared" si="16"/>
        <v>45132871.72785407</v>
      </c>
    </row>
    <row r="157" spans="1:7" ht="15">
      <c r="A157" s="36" t="s">
        <v>368</v>
      </c>
      <c r="B157" s="47" t="s">
        <v>369</v>
      </c>
      <c r="C157" s="38">
        <f>+C158</f>
        <v>5000000</v>
      </c>
      <c r="D157" s="38">
        <f>+D158</f>
        <v>5422600</v>
      </c>
      <c r="E157" s="38">
        <f>+E158</f>
        <v>5853805.152</v>
      </c>
      <c r="F157" s="38">
        <f>+F158</f>
        <v>6290030.71192704</v>
      </c>
      <c r="G157" s="39">
        <f t="shared" si="16"/>
        <v>22566435.863927037</v>
      </c>
    </row>
    <row r="158" spans="1:7" ht="30">
      <c r="A158" s="46" t="s">
        <v>370</v>
      </c>
      <c r="B158" s="47" t="s">
        <v>371</v>
      </c>
      <c r="C158" s="48">
        <v>5000000</v>
      </c>
      <c r="D158" s="49">
        <f t="shared" si="13"/>
        <v>5422600</v>
      </c>
      <c r="E158" s="49">
        <f t="shared" si="14"/>
        <v>5853805.152</v>
      </c>
      <c r="F158" s="49">
        <f t="shared" si="15"/>
        <v>6290030.71192704</v>
      </c>
      <c r="G158" s="39">
        <f t="shared" si="16"/>
        <v>22566435.863927037</v>
      </c>
    </row>
    <row r="159" spans="1:7" ht="15">
      <c r="A159" s="36" t="s">
        <v>372</v>
      </c>
      <c r="B159" s="47" t="s">
        <v>361</v>
      </c>
      <c r="C159" s="38">
        <f>+C160+C161</f>
        <v>25000000</v>
      </c>
      <c r="D159" s="38">
        <f>+D160+D161</f>
        <v>27113000</v>
      </c>
      <c r="E159" s="38">
        <f>+E160+E161</f>
        <v>29269025.759999998</v>
      </c>
      <c r="F159" s="38">
        <f>+F160+F161</f>
        <v>31450153.5596352</v>
      </c>
      <c r="G159" s="39">
        <f t="shared" si="16"/>
        <v>112832179.31963518</v>
      </c>
    </row>
    <row r="160" spans="1:7" ht="30">
      <c r="A160" s="46" t="s">
        <v>373</v>
      </c>
      <c r="B160" s="47" t="s">
        <v>374</v>
      </c>
      <c r="C160" s="48">
        <v>10000000</v>
      </c>
      <c r="D160" s="49">
        <f t="shared" si="13"/>
        <v>10845200</v>
      </c>
      <c r="E160" s="49">
        <f t="shared" si="14"/>
        <v>11707610.304</v>
      </c>
      <c r="F160" s="49">
        <f t="shared" si="15"/>
        <v>12580061.42385408</v>
      </c>
      <c r="G160" s="39">
        <f t="shared" si="16"/>
        <v>45132871.72785407</v>
      </c>
    </row>
    <row r="161" spans="1:7" ht="30">
      <c r="A161" s="46" t="s">
        <v>375</v>
      </c>
      <c r="B161" s="47" t="s">
        <v>365</v>
      </c>
      <c r="C161" s="48">
        <v>15000000</v>
      </c>
      <c r="D161" s="49">
        <f t="shared" si="13"/>
        <v>16267799.999999998</v>
      </c>
      <c r="E161" s="49">
        <f t="shared" si="14"/>
        <v>17561415.456</v>
      </c>
      <c r="F161" s="49">
        <f t="shared" si="15"/>
        <v>18870092.13578112</v>
      </c>
      <c r="G161" s="39">
        <f t="shared" si="16"/>
        <v>67699307.59178112</v>
      </c>
    </row>
    <row r="162" spans="1:7" ht="15">
      <c r="A162" s="58" t="s">
        <v>376</v>
      </c>
      <c r="B162" s="59" t="s">
        <v>377</v>
      </c>
      <c r="C162" s="60">
        <f>+C163+C164+C165+C166</f>
        <v>145000000</v>
      </c>
      <c r="D162" s="60">
        <f>+D163+D164+D165+D166</f>
        <v>157255400</v>
      </c>
      <c r="E162" s="60">
        <f>+E163+E164+E165+E166</f>
        <v>169760349.408</v>
      </c>
      <c r="F162" s="60">
        <f>+F163+F164+F165+F166</f>
        <v>182410890.64588416</v>
      </c>
      <c r="G162" s="61">
        <f>+G163+G164+G165+G166</f>
        <v>654426640.0538841</v>
      </c>
    </row>
    <row r="163" spans="1:7" ht="30">
      <c r="A163" s="46" t="s">
        <v>378</v>
      </c>
      <c r="B163" s="47" t="s">
        <v>379</v>
      </c>
      <c r="C163" s="48">
        <v>90000000</v>
      </c>
      <c r="D163" s="49">
        <f t="shared" si="13"/>
        <v>97606800</v>
      </c>
      <c r="E163" s="49">
        <f t="shared" si="14"/>
        <v>105368492.736</v>
      </c>
      <c r="F163" s="49">
        <f t="shared" si="15"/>
        <v>113220552.81468672</v>
      </c>
      <c r="G163" s="39">
        <f t="shared" si="16"/>
        <v>406195845.5506867</v>
      </c>
    </row>
    <row r="164" spans="1:7" ht="30">
      <c r="A164" s="46" t="s">
        <v>380</v>
      </c>
      <c r="B164" s="47" t="s">
        <v>381</v>
      </c>
      <c r="C164" s="48">
        <v>10000000</v>
      </c>
      <c r="D164" s="49">
        <f t="shared" si="13"/>
        <v>10845200</v>
      </c>
      <c r="E164" s="49">
        <f t="shared" si="14"/>
        <v>11707610.304</v>
      </c>
      <c r="F164" s="49">
        <f t="shared" si="15"/>
        <v>12580061.42385408</v>
      </c>
      <c r="G164" s="39">
        <f t="shared" si="16"/>
        <v>45132871.72785407</v>
      </c>
    </row>
    <row r="165" spans="1:7" ht="30">
      <c r="A165" s="46" t="s">
        <v>382</v>
      </c>
      <c r="B165" s="47" t="s">
        <v>383</v>
      </c>
      <c r="C165" s="48">
        <v>10000000</v>
      </c>
      <c r="D165" s="49">
        <f t="shared" si="13"/>
        <v>10845200</v>
      </c>
      <c r="E165" s="49">
        <f t="shared" si="14"/>
        <v>11707610.304</v>
      </c>
      <c r="F165" s="49">
        <f t="shared" si="15"/>
        <v>12580061.42385408</v>
      </c>
      <c r="G165" s="39">
        <f t="shared" si="16"/>
        <v>45132871.72785407</v>
      </c>
    </row>
    <row r="166" spans="1:7" ht="15">
      <c r="A166" s="36" t="s">
        <v>384</v>
      </c>
      <c r="B166" s="37" t="s">
        <v>377</v>
      </c>
      <c r="C166" s="38">
        <f>+C167+C168+C169</f>
        <v>35000000</v>
      </c>
      <c r="D166" s="38">
        <f>+D167+D168+D169</f>
        <v>37958200</v>
      </c>
      <c r="E166" s="38">
        <f>+E167+E168+E169</f>
        <v>40976636.063999996</v>
      </c>
      <c r="F166" s="38">
        <f>+F167+F168+F169</f>
        <v>44030214.983489275</v>
      </c>
      <c r="G166" s="45">
        <f>+G167+G168+G169</f>
        <v>157965051.0474893</v>
      </c>
    </row>
    <row r="167" spans="1:7" ht="30">
      <c r="A167" s="46" t="s">
        <v>385</v>
      </c>
      <c r="B167" s="47" t="s">
        <v>379</v>
      </c>
      <c r="C167" s="48">
        <v>10000000</v>
      </c>
      <c r="D167" s="49">
        <f t="shared" si="13"/>
        <v>10845200</v>
      </c>
      <c r="E167" s="49">
        <f t="shared" si="14"/>
        <v>11707610.304</v>
      </c>
      <c r="F167" s="49">
        <f t="shared" si="15"/>
        <v>12580061.42385408</v>
      </c>
      <c r="G167" s="39">
        <f t="shared" si="16"/>
        <v>45132871.72785407</v>
      </c>
    </row>
    <row r="168" spans="1:7" ht="30">
      <c r="A168" s="46" t="s">
        <v>386</v>
      </c>
      <c r="B168" s="47" t="s">
        <v>381</v>
      </c>
      <c r="C168" s="48">
        <v>10000000</v>
      </c>
      <c r="D168" s="49">
        <f t="shared" si="13"/>
        <v>10845200</v>
      </c>
      <c r="E168" s="49">
        <f t="shared" si="14"/>
        <v>11707610.304</v>
      </c>
      <c r="F168" s="49">
        <f t="shared" si="15"/>
        <v>12580061.42385408</v>
      </c>
      <c r="G168" s="39">
        <f t="shared" si="16"/>
        <v>45132871.72785407</v>
      </c>
    </row>
    <row r="169" spans="1:7" ht="30">
      <c r="A169" s="46" t="s">
        <v>387</v>
      </c>
      <c r="B169" s="47" t="s">
        <v>383</v>
      </c>
      <c r="C169" s="48">
        <v>15000000</v>
      </c>
      <c r="D169" s="49">
        <f t="shared" si="13"/>
        <v>16267799.999999998</v>
      </c>
      <c r="E169" s="49">
        <f t="shared" si="14"/>
        <v>17561415.456</v>
      </c>
      <c r="F169" s="49">
        <f t="shared" si="15"/>
        <v>18870092.13578112</v>
      </c>
      <c r="G169" s="39">
        <f t="shared" si="16"/>
        <v>67699307.59178112</v>
      </c>
    </row>
    <row r="170" spans="1:7" ht="15">
      <c r="A170" s="58" t="s">
        <v>388</v>
      </c>
      <c r="B170" s="59" t="s">
        <v>389</v>
      </c>
      <c r="C170" s="60">
        <f>+C171+C172+C173+C174+C176+C178+C179</f>
        <v>844000000</v>
      </c>
      <c r="D170" s="60">
        <f>+D171+D172+D173+D174+D176+D178</f>
        <v>188706480</v>
      </c>
      <c r="E170" s="60">
        <f>+E171+E172+E173+E174+E176+E178</f>
        <v>203712419.2896</v>
      </c>
      <c r="F170" s="60">
        <f>+F171+F172+F173+F174+F176+F178</f>
        <v>218893068.77506098</v>
      </c>
      <c r="G170" s="61">
        <f>+G171+G172+G173+G174+G176+G178+G179</f>
        <v>1455311968.064661</v>
      </c>
    </row>
    <row r="171" spans="1:7" ht="30">
      <c r="A171" s="46" t="s">
        <v>390</v>
      </c>
      <c r="B171" s="47" t="s">
        <v>391</v>
      </c>
      <c r="C171" s="48">
        <v>10000000</v>
      </c>
      <c r="D171" s="49">
        <f t="shared" si="13"/>
        <v>10845200</v>
      </c>
      <c r="E171" s="49">
        <f t="shared" si="14"/>
        <v>11707610.304</v>
      </c>
      <c r="F171" s="49">
        <f t="shared" si="15"/>
        <v>12580061.42385408</v>
      </c>
      <c r="G171" s="39">
        <f t="shared" si="16"/>
        <v>45132871.72785407</v>
      </c>
    </row>
    <row r="172" spans="1:7" ht="30">
      <c r="A172" s="46" t="s">
        <v>392</v>
      </c>
      <c r="B172" s="47" t="s">
        <v>393</v>
      </c>
      <c r="C172" s="48">
        <v>90000000</v>
      </c>
      <c r="D172" s="49">
        <f t="shared" si="13"/>
        <v>97606800</v>
      </c>
      <c r="E172" s="49">
        <f t="shared" si="14"/>
        <v>105368492.736</v>
      </c>
      <c r="F172" s="49">
        <f t="shared" si="15"/>
        <v>113220552.81468672</v>
      </c>
      <c r="G172" s="39">
        <f t="shared" si="16"/>
        <v>406195845.5506867</v>
      </c>
    </row>
    <row r="173" spans="1:7" ht="30">
      <c r="A173" s="46" t="s">
        <v>394</v>
      </c>
      <c r="B173" s="47" t="s">
        <v>395</v>
      </c>
      <c r="C173" s="48">
        <v>10000000</v>
      </c>
      <c r="D173" s="49">
        <f t="shared" si="13"/>
        <v>10845200</v>
      </c>
      <c r="E173" s="49">
        <f t="shared" si="14"/>
        <v>11707610.304</v>
      </c>
      <c r="F173" s="49">
        <f t="shared" si="15"/>
        <v>12580061.42385408</v>
      </c>
      <c r="G173" s="39">
        <f t="shared" si="16"/>
        <v>45132871.72785407</v>
      </c>
    </row>
    <row r="174" spans="1:7" ht="15">
      <c r="A174" s="36" t="s">
        <v>396</v>
      </c>
      <c r="B174" s="37" t="s">
        <v>389</v>
      </c>
      <c r="C174" s="38">
        <f>+C175</f>
        <v>50000000</v>
      </c>
      <c r="D174" s="38">
        <f>+D175</f>
        <v>54226000</v>
      </c>
      <c r="E174" s="38">
        <f>+E175</f>
        <v>58538051.52</v>
      </c>
      <c r="F174" s="38">
        <f>+F175</f>
        <v>62900307.1192704</v>
      </c>
      <c r="G174" s="45">
        <f>+G175</f>
        <v>225664358.63927042</v>
      </c>
    </row>
    <row r="175" spans="1:7" ht="30">
      <c r="A175" s="46" t="s">
        <v>397</v>
      </c>
      <c r="B175" s="47" t="s">
        <v>398</v>
      </c>
      <c r="C175" s="48">
        <v>50000000</v>
      </c>
      <c r="D175" s="49">
        <f t="shared" si="13"/>
        <v>54226000</v>
      </c>
      <c r="E175" s="49">
        <f t="shared" si="14"/>
        <v>58538051.52</v>
      </c>
      <c r="F175" s="49">
        <f t="shared" si="15"/>
        <v>62900307.1192704</v>
      </c>
      <c r="G175" s="39">
        <f t="shared" si="16"/>
        <v>225664358.63927042</v>
      </c>
    </row>
    <row r="176" spans="1:7" ht="15">
      <c r="A176" s="36" t="s">
        <v>399</v>
      </c>
      <c r="B176" s="37" t="s">
        <v>389</v>
      </c>
      <c r="C176" s="38">
        <f>+C177</f>
        <v>14000000</v>
      </c>
      <c r="D176" s="38">
        <f>+D177</f>
        <v>15183279.999999998</v>
      </c>
      <c r="E176" s="38">
        <f>+E177</f>
        <v>16390654.425599998</v>
      </c>
      <c r="F176" s="38">
        <f>+F177</f>
        <v>17612085.99339571</v>
      </c>
      <c r="G176" s="45">
        <f>+G177</f>
        <v>63186020.41899571</v>
      </c>
    </row>
    <row r="177" spans="1:7" ht="30">
      <c r="A177" s="46" t="s">
        <v>400</v>
      </c>
      <c r="B177" s="47" t="s">
        <v>391</v>
      </c>
      <c r="C177" s="48">
        <v>14000000</v>
      </c>
      <c r="D177" s="49">
        <f t="shared" si="13"/>
        <v>15183279.999999998</v>
      </c>
      <c r="E177" s="49">
        <f t="shared" si="14"/>
        <v>16390654.425599998</v>
      </c>
      <c r="F177" s="49">
        <f t="shared" si="15"/>
        <v>17612085.99339571</v>
      </c>
      <c r="G177" s="39">
        <f t="shared" si="16"/>
        <v>63186020.41899571</v>
      </c>
    </row>
    <row r="178" spans="1:7" ht="30">
      <c r="A178" s="46" t="s">
        <v>401</v>
      </c>
      <c r="B178" s="47" t="s">
        <v>402</v>
      </c>
      <c r="C178" s="48">
        <v>170000000</v>
      </c>
      <c r="D178" s="49"/>
      <c r="E178" s="49">
        <f t="shared" si="14"/>
        <v>0</v>
      </c>
      <c r="F178" s="49">
        <f t="shared" si="15"/>
        <v>0</v>
      </c>
      <c r="G178" s="39">
        <f t="shared" si="16"/>
        <v>170000000</v>
      </c>
    </row>
    <row r="179" spans="1:7" ht="15">
      <c r="A179" s="46"/>
      <c r="B179" s="47" t="s">
        <v>549</v>
      </c>
      <c r="C179" s="48">
        <v>500000000</v>
      </c>
      <c r="D179" s="49"/>
      <c r="E179" s="49"/>
      <c r="F179" s="49"/>
      <c r="G179" s="39">
        <f t="shared" si="16"/>
        <v>500000000</v>
      </c>
    </row>
    <row r="180" spans="1:7" ht="15">
      <c r="A180" s="58" t="s">
        <v>403</v>
      </c>
      <c r="B180" s="59" t="s">
        <v>404</v>
      </c>
      <c r="C180" s="60">
        <f>+C181+C182+C183+C184+C186</f>
        <v>154000000</v>
      </c>
      <c r="D180" s="60">
        <f>+D181+D182+D183+D184+D186</f>
        <v>167016080</v>
      </c>
      <c r="E180" s="60">
        <f>+E181+E182+E183+E184+E186</f>
        <v>180297198.6816</v>
      </c>
      <c r="F180" s="60">
        <f>+F181+F182+F183+F184+F186</f>
        <v>193732945.92735285</v>
      </c>
      <c r="G180" s="61">
        <f>+G181+G182+G183+G184+G186</f>
        <v>695046224.6089529</v>
      </c>
    </row>
    <row r="181" spans="1:7" ht="30">
      <c r="A181" s="46" t="s">
        <v>405</v>
      </c>
      <c r="B181" s="47" t="s">
        <v>406</v>
      </c>
      <c r="C181" s="48">
        <v>70000000</v>
      </c>
      <c r="D181" s="49">
        <f t="shared" si="13"/>
        <v>75916400</v>
      </c>
      <c r="E181" s="49">
        <f t="shared" si="14"/>
        <v>81953272.128</v>
      </c>
      <c r="F181" s="49">
        <f t="shared" si="15"/>
        <v>88060429.96697856</v>
      </c>
      <c r="G181" s="39">
        <f t="shared" si="16"/>
        <v>315930102.0949786</v>
      </c>
    </row>
    <row r="182" spans="1:7" ht="30">
      <c r="A182" s="46" t="s">
        <v>407</v>
      </c>
      <c r="B182" s="47" t="s">
        <v>408</v>
      </c>
      <c r="C182" s="48">
        <v>7000000</v>
      </c>
      <c r="D182" s="49">
        <f t="shared" si="13"/>
        <v>7591639.999999999</v>
      </c>
      <c r="E182" s="49">
        <f t="shared" si="14"/>
        <v>8195327.212799999</v>
      </c>
      <c r="F182" s="49">
        <f t="shared" si="15"/>
        <v>8806042.996697854</v>
      </c>
      <c r="G182" s="39">
        <f t="shared" si="16"/>
        <v>31593010.209497854</v>
      </c>
    </row>
    <row r="183" spans="1:7" ht="30">
      <c r="A183" s="46" t="s">
        <v>409</v>
      </c>
      <c r="B183" s="47" t="s">
        <v>410</v>
      </c>
      <c r="C183" s="48">
        <v>7000000</v>
      </c>
      <c r="D183" s="49">
        <f t="shared" si="13"/>
        <v>7591639.999999999</v>
      </c>
      <c r="E183" s="49">
        <f t="shared" si="14"/>
        <v>8195327.212799999</v>
      </c>
      <c r="F183" s="49">
        <f t="shared" si="15"/>
        <v>8806042.996697854</v>
      </c>
      <c r="G183" s="39">
        <f t="shared" si="16"/>
        <v>31593010.209497854</v>
      </c>
    </row>
    <row r="184" spans="1:7" ht="15">
      <c r="A184" s="46" t="s">
        <v>411</v>
      </c>
      <c r="B184" s="47" t="s">
        <v>412</v>
      </c>
      <c r="C184" s="38">
        <f>+C185</f>
        <v>30000000</v>
      </c>
      <c r="D184" s="38">
        <f>+D185</f>
        <v>32535599.999999996</v>
      </c>
      <c r="E184" s="38">
        <f>+E185</f>
        <v>35122830.912</v>
      </c>
      <c r="F184" s="38">
        <f>+F185</f>
        <v>37740184.27156224</v>
      </c>
      <c r="G184" s="39">
        <f t="shared" si="16"/>
        <v>135398615.18356225</v>
      </c>
    </row>
    <row r="185" spans="1:7" ht="30">
      <c r="A185" s="46" t="s">
        <v>413</v>
      </c>
      <c r="B185" s="47" t="s">
        <v>406</v>
      </c>
      <c r="C185" s="48">
        <v>30000000</v>
      </c>
      <c r="D185" s="49">
        <f t="shared" si="13"/>
        <v>32535599.999999996</v>
      </c>
      <c r="E185" s="49">
        <f t="shared" si="14"/>
        <v>35122830.912</v>
      </c>
      <c r="F185" s="49">
        <f t="shared" si="15"/>
        <v>37740184.27156224</v>
      </c>
      <c r="G185" s="39">
        <f t="shared" si="16"/>
        <v>135398615.18356225</v>
      </c>
    </row>
    <row r="186" spans="1:7" ht="15">
      <c r="A186" s="88" t="s">
        <v>414</v>
      </c>
      <c r="B186" s="89" t="s">
        <v>404</v>
      </c>
      <c r="C186" s="103">
        <f>+C187+C188+C189</f>
        <v>40000000</v>
      </c>
      <c r="D186" s="103">
        <f>+D187+D188+D189</f>
        <v>43380800</v>
      </c>
      <c r="E186" s="103">
        <f>+E187+E188+E189</f>
        <v>46830441.216</v>
      </c>
      <c r="F186" s="103">
        <f>+F187+F188+F189</f>
        <v>50320245.69541632</v>
      </c>
      <c r="G186" s="92">
        <f t="shared" si="16"/>
        <v>180531486.9114163</v>
      </c>
    </row>
    <row r="187" spans="1:7" ht="30">
      <c r="A187" s="93" t="s">
        <v>415</v>
      </c>
      <c r="B187" s="94" t="s">
        <v>406</v>
      </c>
      <c r="C187" s="95">
        <v>15000000</v>
      </c>
      <c r="D187" s="96">
        <f t="shared" si="13"/>
        <v>16267799.999999998</v>
      </c>
      <c r="E187" s="96">
        <f t="shared" si="14"/>
        <v>17561415.456</v>
      </c>
      <c r="F187" s="96">
        <f t="shared" si="15"/>
        <v>18870092.13578112</v>
      </c>
      <c r="G187" s="97">
        <f t="shared" si="16"/>
        <v>67699307.59178112</v>
      </c>
    </row>
    <row r="188" spans="1:7" ht="30">
      <c r="A188" s="46" t="s">
        <v>416</v>
      </c>
      <c r="B188" s="47" t="s">
        <v>408</v>
      </c>
      <c r="C188" s="48">
        <v>10000000</v>
      </c>
      <c r="D188" s="49">
        <f t="shared" si="13"/>
        <v>10845200</v>
      </c>
      <c r="E188" s="49">
        <f t="shared" si="14"/>
        <v>11707610.304</v>
      </c>
      <c r="F188" s="49">
        <f t="shared" si="15"/>
        <v>12580061.42385408</v>
      </c>
      <c r="G188" s="39">
        <f t="shared" si="16"/>
        <v>45132871.72785407</v>
      </c>
    </row>
    <row r="189" spans="1:7" ht="30">
      <c r="A189" s="46" t="s">
        <v>417</v>
      </c>
      <c r="B189" s="47" t="s">
        <v>410</v>
      </c>
      <c r="C189" s="48">
        <v>15000000</v>
      </c>
      <c r="D189" s="49">
        <f t="shared" si="13"/>
        <v>16267799.999999998</v>
      </c>
      <c r="E189" s="49">
        <f t="shared" si="14"/>
        <v>17561415.456</v>
      </c>
      <c r="F189" s="49">
        <f t="shared" si="15"/>
        <v>18870092.13578112</v>
      </c>
      <c r="G189" s="39">
        <f t="shared" si="16"/>
        <v>67699307.59178112</v>
      </c>
    </row>
    <row r="190" spans="1:7" ht="15">
      <c r="A190" s="62" t="s">
        <v>418</v>
      </c>
      <c r="B190" s="59" t="s">
        <v>419</v>
      </c>
      <c r="C190" s="60">
        <f>SUM(C191:C195)</f>
        <v>974893458.5</v>
      </c>
      <c r="D190" s="60">
        <f>SUM(D191:D195)</f>
        <v>10845200</v>
      </c>
      <c r="E190" s="60">
        <f>SUM(E191:E195)</f>
        <v>11707610.304</v>
      </c>
      <c r="F190" s="60">
        <f>SUM(F191:F195)</f>
        <v>12580061.42385408</v>
      </c>
      <c r="G190" s="61">
        <f>SUM(G191:G195)</f>
        <v>1010026330.227854</v>
      </c>
    </row>
    <row r="191" spans="1:7" ht="30">
      <c r="A191" s="46" t="s">
        <v>420</v>
      </c>
      <c r="B191" s="47" t="s">
        <v>421</v>
      </c>
      <c r="C191" s="48">
        <v>10000000</v>
      </c>
      <c r="D191" s="49">
        <f t="shared" si="13"/>
        <v>10845200</v>
      </c>
      <c r="E191" s="49">
        <f t="shared" si="14"/>
        <v>11707610.304</v>
      </c>
      <c r="F191" s="49">
        <f t="shared" si="15"/>
        <v>12580061.42385408</v>
      </c>
      <c r="G191" s="39">
        <f>SUM(C191:F191)</f>
        <v>45132871.72785407</v>
      </c>
    </row>
    <row r="192" spans="1:7" ht="15">
      <c r="A192" s="46" t="s">
        <v>422</v>
      </c>
      <c r="B192" s="47" t="s">
        <v>47</v>
      </c>
      <c r="C192" s="48">
        <v>387102965.5</v>
      </c>
      <c r="D192" s="49"/>
      <c r="E192" s="49"/>
      <c r="F192" s="49"/>
      <c r="G192" s="39">
        <f>SUM(C192:F192)</f>
        <v>387102965.5</v>
      </c>
    </row>
    <row r="193" spans="1:7" ht="15">
      <c r="A193" s="46" t="s">
        <v>423</v>
      </c>
      <c r="B193" s="47" t="s">
        <v>48</v>
      </c>
      <c r="C193" s="48">
        <v>129317969</v>
      </c>
      <c r="D193" s="49"/>
      <c r="E193" s="49"/>
      <c r="F193" s="49"/>
      <c r="G193" s="39">
        <f>SUM(C193:F193)</f>
        <v>129317969</v>
      </c>
    </row>
    <row r="194" spans="1:7" ht="15">
      <c r="A194" s="46" t="s">
        <v>424</v>
      </c>
      <c r="B194" s="47" t="s">
        <v>49</v>
      </c>
      <c r="C194" s="48">
        <v>180000000</v>
      </c>
      <c r="D194" s="49"/>
      <c r="E194" s="49"/>
      <c r="F194" s="49"/>
      <c r="G194" s="39">
        <f>SUM(C194:F194)</f>
        <v>180000000</v>
      </c>
    </row>
    <row r="195" spans="1:7" ht="15">
      <c r="A195" s="46" t="s">
        <v>425</v>
      </c>
      <c r="B195" s="47" t="s">
        <v>50</v>
      </c>
      <c r="C195" s="48">
        <v>268472524</v>
      </c>
      <c r="D195" s="49"/>
      <c r="E195" s="49"/>
      <c r="F195" s="49"/>
      <c r="G195" s="39">
        <f>SUM(C195:F195)</f>
        <v>268472524</v>
      </c>
    </row>
    <row r="196" spans="1:7" ht="15">
      <c r="A196" s="58" t="s">
        <v>426</v>
      </c>
      <c r="B196" s="59" t="s">
        <v>427</v>
      </c>
      <c r="C196" s="60">
        <f>+C197+C198</f>
        <v>80000000</v>
      </c>
      <c r="D196" s="60">
        <f>+D197+D198</f>
        <v>86761600</v>
      </c>
      <c r="E196" s="60">
        <f>+E197+E198</f>
        <v>93660882.432</v>
      </c>
      <c r="F196" s="60">
        <f>+F197+F198</f>
        <v>100640491.39083263</v>
      </c>
      <c r="G196" s="61">
        <f>+G197+G198</f>
        <v>361062973.8228326</v>
      </c>
    </row>
    <row r="197" spans="1:7" ht="30">
      <c r="A197" s="46" t="s">
        <v>428</v>
      </c>
      <c r="B197" s="47" t="s">
        <v>429</v>
      </c>
      <c r="C197" s="48">
        <v>40000000</v>
      </c>
      <c r="D197" s="49">
        <f t="shared" si="13"/>
        <v>43380800</v>
      </c>
      <c r="E197" s="49">
        <f t="shared" si="14"/>
        <v>46830441.216</v>
      </c>
      <c r="F197" s="49">
        <f t="shared" si="15"/>
        <v>50320245.69541632</v>
      </c>
      <c r="G197" s="39">
        <f t="shared" si="16"/>
        <v>180531486.9114163</v>
      </c>
    </row>
    <row r="198" spans="1:7" ht="15">
      <c r="A198" s="36" t="s">
        <v>430</v>
      </c>
      <c r="B198" s="37" t="s">
        <v>427</v>
      </c>
      <c r="C198" s="38">
        <f>+C199</f>
        <v>40000000</v>
      </c>
      <c r="D198" s="38">
        <f>+D199</f>
        <v>43380800</v>
      </c>
      <c r="E198" s="38">
        <f>+E199</f>
        <v>46830441.216</v>
      </c>
      <c r="F198" s="38">
        <f>+F199</f>
        <v>50320245.69541632</v>
      </c>
      <c r="G198" s="45">
        <f>+G199</f>
        <v>180531486.9114163</v>
      </c>
    </row>
    <row r="199" spans="1:7" ht="30">
      <c r="A199" s="46" t="s">
        <v>431</v>
      </c>
      <c r="B199" s="47" t="s">
        <v>432</v>
      </c>
      <c r="C199" s="48">
        <v>40000000</v>
      </c>
      <c r="D199" s="49">
        <f t="shared" si="13"/>
        <v>43380800</v>
      </c>
      <c r="E199" s="49">
        <f t="shared" si="14"/>
        <v>46830441.216</v>
      </c>
      <c r="F199" s="49">
        <f t="shared" si="15"/>
        <v>50320245.69541632</v>
      </c>
      <c r="G199" s="39">
        <f t="shared" si="16"/>
        <v>180531486.9114163</v>
      </c>
    </row>
    <row r="200" spans="1:7" ht="15">
      <c r="A200" s="58" t="s">
        <v>433</v>
      </c>
      <c r="B200" s="59" t="s">
        <v>434</v>
      </c>
      <c r="C200" s="60">
        <f>+C201+C202+C203</f>
        <v>32000000</v>
      </c>
      <c r="D200" s="60">
        <f>+D201+D202+D203</f>
        <v>34704640</v>
      </c>
      <c r="E200" s="60">
        <f>+E201+E202+E203</f>
        <v>37464352.9728</v>
      </c>
      <c r="F200" s="60">
        <f>+F201+F202+F203</f>
        <v>40256196.55633305</v>
      </c>
      <c r="G200" s="61">
        <f>+G201+G202+G203</f>
        <v>144425189.52913305</v>
      </c>
    </row>
    <row r="201" spans="1:7" ht="30">
      <c r="A201" s="46" t="s">
        <v>435</v>
      </c>
      <c r="B201" s="47" t="s">
        <v>436</v>
      </c>
      <c r="C201" s="48">
        <v>12000000</v>
      </c>
      <c r="D201" s="49">
        <f t="shared" si="13"/>
        <v>13014240</v>
      </c>
      <c r="E201" s="49">
        <f t="shared" si="14"/>
        <v>14049132.3648</v>
      </c>
      <c r="F201" s="49">
        <f t="shared" si="15"/>
        <v>15096073.708624896</v>
      </c>
      <c r="G201" s="39">
        <f t="shared" si="16"/>
        <v>54159446.07342489</v>
      </c>
    </row>
    <row r="202" spans="1:7" ht="30">
      <c r="A202" s="46" t="s">
        <v>437</v>
      </c>
      <c r="B202" s="47" t="s">
        <v>438</v>
      </c>
      <c r="C202" s="48">
        <v>5000000</v>
      </c>
      <c r="D202" s="49">
        <f t="shared" si="13"/>
        <v>5422600</v>
      </c>
      <c r="E202" s="49">
        <f t="shared" si="14"/>
        <v>5853805.152</v>
      </c>
      <c r="F202" s="49">
        <f t="shared" si="15"/>
        <v>6290030.71192704</v>
      </c>
      <c r="G202" s="39">
        <f t="shared" si="16"/>
        <v>22566435.863927037</v>
      </c>
    </row>
    <row r="203" spans="1:7" ht="15">
      <c r="A203" s="36" t="s">
        <v>439</v>
      </c>
      <c r="B203" s="47" t="s">
        <v>434</v>
      </c>
      <c r="C203" s="38">
        <f>+C204</f>
        <v>15000000</v>
      </c>
      <c r="D203" s="38">
        <f>+D204</f>
        <v>16267799.999999998</v>
      </c>
      <c r="E203" s="38">
        <f>+E204</f>
        <v>17561415.456</v>
      </c>
      <c r="F203" s="38">
        <f>+F204</f>
        <v>18870092.13578112</v>
      </c>
      <c r="G203" s="45">
        <f>+G204</f>
        <v>67699307.59178112</v>
      </c>
    </row>
    <row r="204" spans="1:7" ht="30">
      <c r="A204" s="46" t="s">
        <v>440</v>
      </c>
      <c r="B204" s="47" t="s">
        <v>441</v>
      </c>
      <c r="C204" s="48">
        <v>15000000</v>
      </c>
      <c r="D204" s="49">
        <f aca="true" t="shared" si="17" ref="D204:D234">+C204*108.452%</f>
        <v>16267799.999999998</v>
      </c>
      <c r="E204" s="49">
        <f aca="true" t="shared" si="18" ref="E204:E234">+D204*107.952%</f>
        <v>17561415.456</v>
      </c>
      <c r="F204" s="49">
        <f aca="true" t="shared" si="19" ref="F204:F234">+E204*107.452%</f>
        <v>18870092.13578112</v>
      </c>
      <c r="G204" s="39">
        <f aca="true" t="shared" si="20" ref="G204:G234">SUM(C204:F204)</f>
        <v>67699307.59178112</v>
      </c>
    </row>
    <row r="205" spans="1:7" ht="15">
      <c r="A205" s="58" t="s">
        <v>442</v>
      </c>
      <c r="B205" s="59" t="s">
        <v>443</v>
      </c>
      <c r="C205" s="60">
        <f>+C206+C207+C208+C209</f>
        <v>140000000</v>
      </c>
      <c r="D205" s="60">
        <f>+D206+D207+D208+D209</f>
        <v>151832800</v>
      </c>
      <c r="E205" s="60">
        <f>+E206+E207+E208+E209</f>
        <v>163906544.25599998</v>
      </c>
      <c r="F205" s="60">
        <f>+F206+F207+F208+F209</f>
        <v>176120859.9339571</v>
      </c>
      <c r="G205" s="61">
        <f>+G206+G207+G208+G209</f>
        <v>631860204.189957</v>
      </c>
    </row>
    <row r="206" spans="1:7" ht="30">
      <c r="A206" s="46" t="s">
        <v>444</v>
      </c>
      <c r="B206" s="47" t="s">
        <v>445</v>
      </c>
      <c r="C206" s="48">
        <v>20273253</v>
      </c>
      <c r="D206" s="49">
        <f t="shared" si="17"/>
        <v>21986748.34356</v>
      </c>
      <c r="E206" s="49">
        <f t="shared" si="18"/>
        <v>23735134.57183989</v>
      </c>
      <c r="F206" s="49">
        <f t="shared" si="19"/>
        <v>25503876.8001334</v>
      </c>
      <c r="G206" s="39">
        <f t="shared" si="20"/>
        <v>91499012.71553329</v>
      </c>
    </row>
    <row r="207" spans="1:7" ht="30">
      <c r="A207" s="46" t="s">
        <v>446</v>
      </c>
      <c r="B207" s="47" t="s">
        <v>447</v>
      </c>
      <c r="C207" s="48">
        <v>32726747</v>
      </c>
      <c r="D207" s="49">
        <f t="shared" si="17"/>
        <v>35492811.65644</v>
      </c>
      <c r="E207" s="49">
        <f t="shared" si="18"/>
        <v>38315200.039360106</v>
      </c>
      <c r="F207" s="49">
        <f t="shared" si="19"/>
        <v>41170448.74629322</v>
      </c>
      <c r="G207" s="39">
        <f t="shared" si="20"/>
        <v>147705207.4420933</v>
      </c>
    </row>
    <row r="208" spans="1:7" ht="30">
      <c r="A208" s="46" t="s">
        <v>448</v>
      </c>
      <c r="B208" s="47" t="s">
        <v>449</v>
      </c>
      <c r="C208" s="48">
        <v>7000000</v>
      </c>
      <c r="D208" s="49">
        <f t="shared" si="17"/>
        <v>7591639.999999999</v>
      </c>
      <c r="E208" s="49">
        <f t="shared" si="18"/>
        <v>8195327.212799999</v>
      </c>
      <c r="F208" s="49">
        <f t="shared" si="19"/>
        <v>8806042.996697854</v>
      </c>
      <c r="G208" s="39">
        <f t="shared" si="20"/>
        <v>31593010.209497854</v>
      </c>
    </row>
    <row r="209" spans="1:7" ht="15">
      <c r="A209" s="46" t="s">
        <v>450</v>
      </c>
      <c r="B209" s="37" t="s">
        <v>443</v>
      </c>
      <c r="C209" s="38">
        <f>+C210</f>
        <v>80000000</v>
      </c>
      <c r="D209" s="38">
        <f>+D210</f>
        <v>86761600</v>
      </c>
      <c r="E209" s="38">
        <f>+E210</f>
        <v>93660882.432</v>
      </c>
      <c r="F209" s="38">
        <f>+F210</f>
        <v>100640491.39083263</v>
      </c>
      <c r="G209" s="45">
        <f>+G210</f>
        <v>361062973.8228326</v>
      </c>
    </row>
    <row r="210" spans="1:7" ht="30">
      <c r="A210" s="46" t="s">
        <v>451</v>
      </c>
      <c r="B210" s="47" t="s">
        <v>452</v>
      </c>
      <c r="C210" s="48">
        <v>80000000</v>
      </c>
      <c r="D210" s="49">
        <f t="shared" si="17"/>
        <v>86761600</v>
      </c>
      <c r="E210" s="49">
        <f t="shared" si="18"/>
        <v>93660882.432</v>
      </c>
      <c r="F210" s="49">
        <f t="shared" si="19"/>
        <v>100640491.39083263</v>
      </c>
      <c r="G210" s="39">
        <f t="shared" si="20"/>
        <v>361062973.8228326</v>
      </c>
    </row>
    <row r="211" spans="1:7" ht="15">
      <c r="A211" s="58" t="s">
        <v>453</v>
      </c>
      <c r="B211" s="59" t="s">
        <v>454</v>
      </c>
      <c r="C211" s="60">
        <f>+C212+C214+C216+C218+C220+C222+C224+C213+C215+C217+C219+C221+C223</f>
        <v>216000000</v>
      </c>
      <c r="D211" s="60">
        <f>+D212+D214+D216+D218+D220+D222+D224+D213+D215+D217+D219+D221+D223</f>
        <v>234256320</v>
      </c>
      <c r="E211" s="60">
        <f>+E212+E214+E216+E218+E220+E222+E224+E213+E215+E217+E219+E221+E223</f>
        <v>252884382.56640002</v>
      </c>
      <c r="F211" s="60">
        <f>+F212+F214+F216+F218+F220+F222+F224+F213+F215+F217+F219+F221+F223</f>
        <v>271729326.7552481</v>
      </c>
      <c r="G211" s="61">
        <f>+G212+G214+G216+G218+G220+G222+G224+G213+G215+G217+G219+G221+G223</f>
        <v>974870029.3216481</v>
      </c>
    </row>
    <row r="212" spans="1:7" ht="30">
      <c r="A212" s="46" t="s">
        <v>455</v>
      </c>
      <c r="B212" s="47" t="s">
        <v>456</v>
      </c>
      <c r="C212" s="48">
        <v>5000000</v>
      </c>
      <c r="D212" s="49">
        <f t="shared" si="17"/>
        <v>5422600</v>
      </c>
      <c r="E212" s="49">
        <f t="shared" si="18"/>
        <v>5853805.152</v>
      </c>
      <c r="F212" s="49">
        <f t="shared" si="19"/>
        <v>6290030.71192704</v>
      </c>
      <c r="G212" s="39">
        <f t="shared" si="20"/>
        <v>22566435.863927037</v>
      </c>
    </row>
    <row r="213" spans="1:7" ht="30">
      <c r="A213" s="46" t="s">
        <v>457</v>
      </c>
      <c r="B213" s="47" t="s">
        <v>456</v>
      </c>
      <c r="C213" s="48">
        <v>10000000</v>
      </c>
      <c r="D213" s="49">
        <f t="shared" si="17"/>
        <v>10845200</v>
      </c>
      <c r="E213" s="49">
        <f t="shared" si="18"/>
        <v>11707610.304</v>
      </c>
      <c r="F213" s="49">
        <f t="shared" si="19"/>
        <v>12580061.42385408</v>
      </c>
      <c r="G213" s="39">
        <f t="shared" si="20"/>
        <v>45132871.72785407</v>
      </c>
    </row>
    <row r="214" spans="1:7" ht="30">
      <c r="A214" s="46" t="s">
        <v>458</v>
      </c>
      <c r="B214" s="47" t="s">
        <v>459</v>
      </c>
      <c r="C214" s="48">
        <v>5000000</v>
      </c>
      <c r="D214" s="49">
        <f t="shared" si="17"/>
        <v>5422600</v>
      </c>
      <c r="E214" s="49">
        <f t="shared" si="18"/>
        <v>5853805.152</v>
      </c>
      <c r="F214" s="49">
        <f t="shared" si="19"/>
        <v>6290030.71192704</v>
      </c>
      <c r="G214" s="39">
        <f t="shared" si="20"/>
        <v>22566435.863927037</v>
      </c>
    </row>
    <row r="215" spans="1:7" ht="30">
      <c r="A215" s="46" t="s">
        <v>460</v>
      </c>
      <c r="B215" s="47" t="s">
        <v>459</v>
      </c>
      <c r="C215" s="48">
        <v>10000000</v>
      </c>
      <c r="D215" s="49">
        <f t="shared" si="17"/>
        <v>10845200</v>
      </c>
      <c r="E215" s="49">
        <f t="shared" si="18"/>
        <v>11707610.304</v>
      </c>
      <c r="F215" s="49">
        <f t="shared" si="19"/>
        <v>12580061.42385408</v>
      </c>
      <c r="G215" s="39">
        <f t="shared" si="20"/>
        <v>45132871.72785407</v>
      </c>
    </row>
    <row r="216" spans="1:7" ht="30">
      <c r="A216" s="46" t="s">
        <v>461</v>
      </c>
      <c r="B216" s="47" t="s">
        <v>462</v>
      </c>
      <c r="C216" s="48">
        <v>5000000</v>
      </c>
      <c r="D216" s="49">
        <f t="shared" si="17"/>
        <v>5422600</v>
      </c>
      <c r="E216" s="49">
        <f t="shared" si="18"/>
        <v>5853805.152</v>
      </c>
      <c r="F216" s="49">
        <f t="shared" si="19"/>
        <v>6290030.71192704</v>
      </c>
      <c r="G216" s="39">
        <f t="shared" si="20"/>
        <v>22566435.863927037</v>
      </c>
    </row>
    <row r="217" spans="1:7" ht="30">
      <c r="A217" s="46" t="s">
        <v>463</v>
      </c>
      <c r="B217" s="47" t="s">
        <v>462</v>
      </c>
      <c r="C217" s="48">
        <v>15000000</v>
      </c>
      <c r="D217" s="49">
        <f t="shared" si="17"/>
        <v>16267799.999999998</v>
      </c>
      <c r="E217" s="49">
        <f t="shared" si="18"/>
        <v>17561415.456</v>
      </c>
      <c r="F217" s="49">
        <f t="shared" si="19"/>
        <v>18870092.13578112</v>
      </c>
      <c r="G217" s="39">
        <f t="shared" si="20"/>
        <v>67699307.59178112</v>
      </c>
    </row>
    <row r="218" spans="1:7" ht="30">
      <c r="A218" s="46" t="s">
        <v>464</v>
      </c>
      <c r="B218" s="47" t="s">
        <v>465</v>
      </c>
      <c r="C218" s="48">
        <v>5000000</v>
      </c>
      <c r="D218" s="49">
        <f t="shared" si="17"/>
        <v>5422600</v>
      </c>
      <c r="E218" s="49">
        <f t="shared" si="18"/>
        <v>5853805.152</v>
      </c>
      <c r="F218" s="49">
        <f t="shared" si="19"/>
        <v>6290030.71192704</v>
      </c>
      <c r="G218" s="39">
        <f t="shared" si="20"/>
        <v>22566435.863927037</v>
      </c>
    </row>
    <row r="219" spans="1:7" ht="30">
      <c r="A219" s="46" t="s">
        <v>466</v>
      </c>
      <c r="B219" s="47" t="s">
        <v>465</v>
      </c>
      <c r="C219" s="48">
        <v>10000000</v>
      </c>
      <c r="D219" s="49">
        <f t="shared" si="17"/>
        <v>10845200</v>
      </c>
      <c r="E219" s="49">
        <f t="shared" si="18"/>
        <v>11707610.304</v>
      </c>
      <c r="F219" s="49">
        <f t="shared" si="19"/>
        <v>12580061.42385408</v>
      </c>
      <c r="G219" s="39">
        <f t="shared" si="20"/>
        <v>45132871.72785407</v>
      </c>
    </row>
    <row r="220" spans="1:7" ht="30">
      <c r="A220" s="46" t="s">
        <v>467</v>
      </c>
      <c r="B220" s="47" t="s">
        <v>468</v>
      </c>
      <c r="C220" s="48">
        <v>31000000</v>
      </c>
      <c r="D220" s="49">
        <f t="shared" si="17"/>
        <v>33620120</v>
      </c>
      <c r="E220" s="49">
        <f t="shared" si="18"/>
        <v>36293591.9424</v>
      </c>
      <c r="F220" s="49">
        <f t="shared" si="19"/>
        <v>38998190.41394765</v>
      </c>
      <c r="G220" s="39">
        <f t="shared" si="20"/>
        <v>139911902.35634765</v>
      </c>
    </row>
    <row r="221" spans="1:7" ht="30">
      <c r="A221" s="46" t="s">
        <v>469</v>
      </c>
      <c r="B221" s="47" t="s">
        <v>470</v>
      </c>
      <c r="C221" s="48">
        <v>22000000</v>
      </c>
      <c r="D221" s="49">
        <f t="shared" si="17"/>
        <v>23859440</v>
      </c>
      <c r="E221" s="49">
        <f t="shared" si="18"/>
        <v>25756742.6688</v>
      </c>
      <c r="F221" s="49">
        <f t="shared" si="19"/>
        <v>27676135.132478975</v>
      </c>
      <c r="G221" s="39">
        <f t="shared" si="20"/>
        <v>99292317.80127898</v>
      </c>
    </row>
    <row r="222" spans="1:7" ht="30">
      <c r="A222" s="46" t="s">
        <v>471</v>
      </c>
      <c r="B222" s="47" t="s">
        <v>472</v>
      </c>
      <c r="C222" s="48">
        <v>0</v>
      </c>
      <c r="D222" s="49"/>
      <c r="E222" s="49"/>
      <c r="F222" s="49"/>
      <c r="G222" s="39"/>
    </row>
    <row r="223" spans="1:7" ht="30">
      <c r="A223" s="88" t="s">
        <v>473</v>
      </c>
      <c r="B223" s="89" t="s">
        <v>474</v>
      </c>
      <c r="C223" s="90">
        <v>50000000</v>
      </c>
      <c r="D223" s="91">
        <f t="shared" si="17"/>
        <v>54226000</v>
      </c>
      <c r="E223" s="91">
        <f t="shared" si="18"/>
        <v>58538051.52</v>
      </c>
      <c r="F223" s="91">
        <f t="shared" si="19"/>
        <v>62900307.1192704</v>
      </c>
      <c r="G223" s="92">
        <f t="shared" si="20"/>
        <v>225664358.63927042</v>
      </c>
    </row>
    <row r="224" spans="1:7" ht="30">
      <c r="A224" s="93" t="s">
        <v>475</v>
      </c>
      <c r="B224" s="94" t="s">
        <v>476</v>
      </c>
      <c r="C224" s="95">
        <v>48000000</v>
      </c>
      <c r="D224" s="96">
        <f t="shared" si="17"/>
        <v>52056960</v>
      </c>
      <c r="E224" s="96">
        <f t="shared" si="18"/>
        <v>56196529.4592</v>
      </c>
      <c r="F224" s="96">
        <f t="shared" si="19"/>
        <v>60384294.83449958</v>
      </c>
      <c r="G224" s="97">
        <f t="shared" si="20"/>
        <v>216637784.29369956</v>
      </c>
    </row>
    <row r="225" spans="1:7" ht="15">
      <c r="A225" s="58" t="s">
        <v>477</v>
      </c>
      <c r="B225" s="59" t="s">
        <v>478</v>
      </c>
      <c r="C225" s="60">
        <f>+C226+C227+C228</f>
        <v>350848616</v>
      </c>
      <c r="D225" s="60">
        <f>+D226+D227+D228</f>
        <v>380502341.02432</v>
      </c>
      <c r="E225" s="60">
        <f>+E226+E227+E228</f>
        <v>410759887.1825739</v>
      </c>
      <c r="F225" s="60">
        <f>+F226+F227+F228</f>
        <v>441369713.9754193</v>
      </c>
      <c r="G225" s="61">
        <f>+G226+G227+G228</f>
        <v>1583480558.1823134</v>
      </c>
    </row>
    <row r="226" spans="1:7" ht="30">
      <c r="A226" s="46" t="s">
        <v>479</v>
      </c>
      <c r="B226" s="47" t="s">
        <v>480</v>
      </c>
      <c r="C226" s="48">
        <v>40000000</v>
      </c>
      <c r="D226" s="49">
        <f t="shared" si="17"/>
        <v>43380800</v>
      </c>
      <c r="E226" s="49">
        <f t="shared" si="18"/>
        <v>46830441.216</v>
      </c>
      <c r="F226" s="49">
        <f t="shared" si="19"/>
        <v>50320245.69541632</v>
      </c>
      <c r="G226" s="39">
        <f t="shared" si="20"/>
        <v>180531486.9114163</v>
      </c>
    </row>
    <row r="227" spans="1:7" ht="30">
      <c r="A227" s="46" t="s">
        <v>481</v>
      </c>
      <c r="B227" s="47" t="s">
        <v>482</v>
      </c>
      <c r="C227" s="48">
        <v>88000000</v>
      </c>
      <c r="D227" s="49">
        <f t="shared" si="17"/>
        <v>95437760</v>
      </c>
      <c r="E227" s="49">
        <f t="shared" si="18"/>
        <v>103026970.6752</v>
      </c>
      <c r="F227" s="49">
        <f t="shared" si="19"/>
        <v>110704540.5299159</v>
      </c>
      <c r="G227" s="39">
        <f t="shared" si="20"/>
        <v>397169271.2051159</v>
      </c>
    </row>
    <row r="228" spans="1:7" ht="15">
      <c r="A228" s="36" t="s">
        <v>483</v>
      </c>
      <c r="B228" s="37" t="s">
        <v>484</v>
      </c>
      <c r="C228" s="38">
        <f>+C229+C230+C231</f>
        <v>222848616</v>
      </c>
      <c r="D228" s="38">
        <f>+D229+D230+D231</f>
        <v>241683781.02431998</v>
      </c>
      <c r="E228" s="38">
        <f>+E229+E230+E231</f>
        <v>260902475.2913739</v>
      </c>
      <c r="F228" s="38">
        <f>+F229+F230+F231</f>
        <v>280344927.7500871</v>
      </c>
      <c r="G228" s="45">
        <f>+G229+G230+G231</f>
        <v>1005779800.0657811</v>
      </c>
    </row>
    <row r="229" spans="1:7" ht="30">
      <c r="A229" s="46" t="s">
        <v>485</v>
      </c>
      <c r="B229" s="47" t="s">
        <v>486</v>
      </c>
      <c r="C229" s="48">
        <v>70000000</v>
      </c>
      <c r="D229" s="49">
        <f t="shared" si="17"/>
        <v>75916400</v>
      </c>
      <c r="E229" s="49">
        <f t="shared" si="18"/>
        <v>81953272.128</v>
      </c>
      <c r="F229" s="49">
        <f t="shared" si="19"/>
        <v>88060429.96697856</v>
      </c>
      <c r="G229" s="39">
        <f t="shared" si="20"/>
        <v>315930102.0949786</v>
      </c>
    </row>
    <row r="230" spans="1:7" ht="30">
      <c r="A230" s="46" t="s">
        <v>487</v>
      </c>
      <c r="B230" s="47" t="s">
        <v>488</v>
      </c>
      <c r="C230" s="48">
        <v>152848616</v>
      </c>
      <c r="D230" s="49">
        <f t="shared" si="17"/>
        <v>165767381.02431998</v>
      </c>
      <c r="E230" s="49">
        <f t="shared" si="18"/>
        <v>178949203.16337392</v>
      </c>
      <c r="F230" s="49">
        <f t="shared" si="19"/>
        <v>192284497.78310853</v>
      </c>
      <c r="G230" s="39">
        <f t="shared" si="20"/>
        <v>689849697.9708025</v>
      </c>
    </row>
    <row r="231" spans="1:7" ht="30">
      <c r="A231" s="46" t="s">
        <v>489</v>
      </c>
      <c r="B231" s="47" t="s">
        <v>490</v>
      </c>
      <c r="C231" s="48">
        <v>0</v>
      </c>
      <c r="D231" s="49">
        <f t="shared" si="17"/>
        <v>0</v>
      </c>
      <c r="E231" s="49">
        <f t="shared" si="18"/>
        <v>0</v>
      </c>
      <c r="F231" s="49">
        <f t="shared" si="19"/>
        <v>0</v>
      </c>
      <c r="G231" s="39">
        <f t="shared" si="20"/>
        <v>0</v>
      </c>
    </row>
    <row r="232" spans="1:7" ht="15">
      <c r="A232" s="57"/>
      <c r="B232" s="55" t="s">
        <v>491</v>
      </c>
      <c r="C232" s="56">
        <f>+C233+C234</f>
        <v>90000000</v>
      </c>
      <c r="D232" s="56">
        <f>+D233+D234</f>
        <v>97606800</v>
      </c>
      <c r="E232" s="56">
        <f>+E233+E234</f>
        <v>105368492.736</v>
      </c>
      <c r="F232" s="56">
        <f>+F233+F234</f>
        <v>113220552.81468672</v>
      </c>
      <c r="G232" s="44">
        <f>+G233+G234</f>
        <v>406195845.5506867</v>
      </c>
    </row>
    <row r="233" spans="1:7" ht="15">
      <c r="A233" s="63" t="s">
        <v>492</v>
      </c>
      <c r="B233" s="47"/>
      <c r="C233" s="48"/>
      <c r="D233" s="49">
        <f t="shared" si="17"/>
        <v>0</v>
      </c>
      <c r="E233" s="49">
        <f t="shared" si="18"/>
        <v>0</v>
      </c>
      <c r="F233" s="49">
        <f t="shared" si="19"/>
        <v>0</v>
      </c>
      <c r="G233" s="39">
        <f t="shared" si="20"/>
        <v>0</v>
      </c>
    </row>
    <row r="234" spans="1:11" ht="30">
      <c r="A234" s="46" t="s">
        <v>493</v>
      </c>
      <c r="B234" s="47" t="s">
        <v>494</v>
      </c>
      <c r="C234" s="48">
        <v>90000000</v>
      </c>
      <c r="D234" s="49">
        <f t="shared" si="17"/>
        <v>97606800</v>
      </c>
      <c r="E234" s="49">
        <f t="shared" si="18"/>
        <v>105368492.736</v>
      </c>
      <c r="F234" s="49">
        <f t="shared" si="19"/>
        <v>113220552.81468672</v>
      </c>
      <c r="G234" s="39">
        <f t="shared" si="20"/>
        <v>406195845.5506867</v>
      </c>
      <c r="J234" s="14"/>
      <c r="K234" s="14"/>
    </row>
    <row r="235" spans="1:7" ht="15">
      <c r="A235" s="54" t="s">
        <v>495</v>
      </c>
      <c r="B235" s="55" t="s">
        <v>496</v>
      </c>
      <c r="C235" s="43">
        <f>SUM(C236:C236)</f>
        <v>0</v>
      </c>
      <c r="D235" s="43">
        <f>SUM(D236:D236)</f>
        <v>0</v>
      </c>
      <c r="E235" s="43">
        <f>SUM(E236:E236)</f>
        <v>0</v>
      </c>
      <c r="F235" s="43">
        <f>SUM(F236:F236)</f>
        <v>0</v>
      </c>
      <c r="G235" s="44">
        <f>SUM(G236:G236)</f>
        <v>0</v>
      </c>
    </row>
    <row r="236" spans="1:7" ht="15.75" thickBot="1">
      <c r="A236" s="64"/>
      <c r="B236" s="65"/>
      <c r="C236" s="66"/>
      <c r="D236" s="67"/>
      <c r="E236" s="67"/>
      <c r="F236" s="67"/>
      <c r="G236" s="68"/>
    </row>
    <row r="237" ht="15.75" thickTop="1"/>
  </sheetData>
  <sheetProtection/>
  <mergeCells count="6">
    <mergeCell ref="A1:G1"/>
    <mergeCell ref="A2:G2"/>
    <mergeCell ref="A3:G3"/>
    <mergeCell ref="A4:A5"/>
    <mergeCell ref="B4:B5"/>
    <mergeCell ref="D4:G4"/>
  </mergeCells>
  <printOptions/>
  <pageMargins left="1" right="0.25" top="0.75" bottom="0.5" header="0.31496062992126" footer="0.31496062992126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B1">
      <selection activeCell="H3" sqref="H3"/>
    </sheetView>
  </sheetViews>
  <sheetFormatPr defaultColWidth="11.421875" defaultRowHeight="15"/>
  <cols>
    <col min="1" max="1" width="18.421875" style="0" customWidth="1"/>
    <col min="2" max="2" width="30.421875" style="0" customWidth="1"/>
    <col min="3" max="5" width="17.8515625" style="0" customWidth="1"/>
    <col min="6" max="6" width="15.140625" style="0" hidden="1" customWidth="1"/>
    <col min="7" max="7" width="15.140625" style="0" customWidth="1"/>
    <col min="8" max="8" width="14.421875" style="0" customWidth="1"/>
    <col min="12" max="12" width="12.7109375" style="0" bestFit="1" customWidth="1"/>
  </cols>
  <sheetData>
    <row r="1" ht="15.75" thickBot="1"/>
    <row r="2" spans="1:12" ht="30.75" thickTop="1">
      <c r="A2" s="644" t="s">
        <v>501</v>
      </c>
      <c r="B2" s="645"/>
      <c r="C2" s="645"/>
      <c r="D2" s="645"/>
      <c r="E2" s="645"/>
      <c r="F2" s="417" t="s">
        <v>711</v>
      </c>
      <c r="G2" s="417" t="s">
        <v>720</v>
      </c>
      <c r="H2" s="417" t="s">
        <v>699</v>
      </c>
      <c r="I2" s="418" t="s">
        <v>713</v>
      </c>
      <c r="L2" s="14" t="e">
        <f>+H3-#REF!</f>
        <v>#REF!</v>
      </c>
    </row>
    <row r="3" spans="1:9" ht="15">
      <c r="A3" s="641" t="s">
        <v>712</v>
      </c>
      <c r="B3" s="642"/>
      <c r="C3" s="419"/>
      <c r="D3" s="419"/>
      <c r="E3" s="419"/>
      <c r="F3" s="423">
        <f>+F4+F11+F20+F30</f>
        <v>262582770</v>
      </c>
      <c r="G3" s="423"/>
      <c r="H3" s="423">
        <f>+H4+H11+H20+H30</f>
        <v>761598387</v>
      </c>
      <c r="I3" s="428">
        <f>+H3/F3</f>
        <v>2.900412647029354</v>
      </c>
    </row>
    <row r="4" spans="1:9" ht="45">
      <c r="A4" s="643" t="s">
        <v>558</v>
      </c>
      <c r="B4" s="436" t="s">
        <v>559</v>
      </c>
      <c r="C4" s="436"/>
      <c r="D4" s="436"/>
      <c r="E4" s="436"/>
      <c r="F4" s="437">
        <v>20000000</v>
      </c>
      <c r="G4" s="437"/>
      <c r="H4" s="437">
        <v>0</v>
      </c>
      <c r="I4" s="438">
        <f>+H4/F4</f>
        <v>0</v>
      </c>
    </row>
    <row r="5" spans="1:9" ht="30">
      <c r="A5" s="643"/>
      <c r="B5" s="422" t="s">
        <v>701</v>
      </c>
      <c r="C5" s="422"/>
      <c r="D5" s="422"/>
      <c r="E5" s="422"/>
      <c r="F5" s="423">
        <v>0</v>
      </c>
      <c r="G5" s="423"/>
      <c r="H5" s="423">
        <v>0</v>
      </c>
      <c r="I5" s="440"/>
    </row>
    <row r="6" spans="1:9" ht="15">
      <c r="A6" s="643"/>
      <c r="B6" s="422"/>
      <c r="C6" s="422"/>
      <c r="D6" s="422"/>
      <c r="E6" s="422"/>
      <c r="F6" s="423">
        <v>0</v>
      </c>
      <c r="G6" s="423"/>
      <c r="H6" s="423">
        <v>0</v>
      </c>
      <c r="I6" s="428"/>
    </row>
    <row r="7" spans="1:9" ht="30">
      <c r="A7" s="643"/>
      <c r="B7" s="422" t="s">
        <v>702</v>
      </c>
      <c r="C7" s="422"/>
      <c r="D7" s="422"/>
      <c r="E7" s="422"/>
      <c r="F7" s="423">
        <v>0</v>
      </c>
      <c r="G7" s="423"/>
      <c r="H7" s="423">
        <v>0</v>
      </c>
      <c r="I7" s="428"/>
    </row>
    <row r="8" spans="1:9" ht="30">
      <c r="A8" s="643"/>
      <c r="B8" s="422" t="s">
        <v>703</v>
      </c>
      <c r="C8" s="422"/>
      <c r="D8" s="422"/>
      <c r="E8" s="422"/>
      <c r="F8" s="423">
        <v>0</v>
      </c>
      <c r="G8" s="423"/>
      <c r="H8" s="423">
        <v>0</v>
      </c>
      <c r="I8" s="428"/>
    </row>
    <row r="9" spans="1:9" ht="15">
      <c r="A9" s="643"/>
      <c r="B9" s="422"/>
      <c r="C9" s="422"/>
      <c r="D9" s="422"/>
      <c r="E9" s="422"/>
      <c r="F9" s="423">
        <v>0</v>
      </c>
      <c r="G9" s="423"/>
      <c r="H9" s="423">
        <v>0</v>
      </c>
      <c r="I9" s="428"/>
    </row>
    <row r="10" spans="1:9" ht="15">
      <c r="A10" s="643"/>
      <c r="B10" s="422"/>
      <c r="C10" s="422"/>
      <c r="D10" s="422"/>
      <c r="E10" s="422"/>
      <c r="F10" s="423">
        <v>0</v>
      </c>
      <c r="G10" s="423"/>
      <c r="H10" s="423">
        <v>0</v>
      </c>
      <c r="I10" s="428"/>
    </row>
    <row r="11" spans="1:9" ht="45">
      <c r="A11" s="643"/>
      <c r="B11" s="436" t="s">
        <v>560</v>
      </c>
      <c r="C11" s="436"/>
      <c r="D11" s="436"/>
      <c r="E11" s="436"/>
      <c r="F11" s="437">
        <v>61082770</v>
      </c>
      <c r="G11" s="437"/>
      <c r="H11" s="437">
        <f>31907517+10000000</f>
        <v>41907517</v>
      </c>
      <c r="I11" s="438">
        <f>+H11/F11</f>
        <v>0.686077546908891</v>
      </c>
    </row>
    <row r="12" spans="1:9" ht="33" customHeight="1">
      <c r="A12" s="643"/>
      <c r="B12" s="441" t="s">
        <v>714</v>
      </c>
      <c r="C12" s="442"/>
      <c r="D12" s="442"/>
      <c r="E12" s="442"/>
      <c r="F12" s="443"/>
      <c r="G12" s="443"/>
      <c r="H12" s="443">
        <v>31907517</v>
      </c>
      <c r="I12" s="444" t="e">
        <f>+H12/F12</f>
        <v>#DIV/0!</v>
      </c>
    </row>
    <row r="13" spans="1:9" ht="15">
      <c r="A13" s="643"/>
      <c r="B13" s="422" t="s">
        <v>704</v>
      </c>
      <c r="C13" s="422"/>
      <c r="D13" s="422"/>
      <c r="E13" s="422"/>
      <c r="F13" s="423"/>
      <c r="G13" s="423"/>
      <c r="H13" s="423"/>
      <c r="I13" s="428" t="e">
        <f>+H13/F13</f>
        <v>#DIV/0!</v>
      </c>
    </row>
    <row r="14" spans="1:9" ht="15">
      <c r="A14" s="643"/>
      <c r="B14" s="422"/>
      <c r="C14" s="422"/>
      <c r="D14" s="422"/>
      <c r="E14" s="422"/>
      <c r="F14" s="423"/>
      <c r="G14" s="423"/>
      <c r="H14" s="423"/>
      <c r="I14" s="428"/>
    </row>
    <row r="15" spans="1:9" ht="15">
      <c r="A15" s="643"/>
      <c r="B15" s="422" t="s">
        <v>704</v>
      </c>
      <c r="C15" s="422"/>
      <c r="D15" s="422"/>
      <c r="E15" s="422"/>
      <c r="F15" s="423"/>
      <c r="G15" s="423"/>
      <c r="H15" s="423"/>
      <c r="I15" s="428" t="e">
        <f aca="true" t="shared" si="0" ref="I15:I20">+H15/F15</f>
        <v>#DIV/0!</v>
      </c>
    </row>
    <row r="16" spans="1:9" ht="30">
      <c r="A16" s="643"/>
      <c r="B16" s="442" t="s">
        <v>715</v>
      </c>
      <c r="C16" s="442"/>
      <c r="D16" s="442"/>
      <c r="E16" s="442"/>
      <c r="F16" s="443"/>
      <c r="G16" s="443"/>
      <c r="H16" s="443">
        <v>10000000</v>
      </c>
      <c r="I16" s="444" t="e">
        <f t="shared" si="0"/>
        <v>#DIV/0!</v>
      </c>
    </row>
    <row r="17" spans="1:9" ht="15">
      <c r="A17" s="643"/>
      <c r="B17" s="422" t="s">
        <v>705</v>
      </c>
      <c r="C17" s="422"/>
      <c r="D17" s="422"/>
      <c r="E17" s="422"/>
      <c r="F17" s="423"/>
      <c r="G17" s="423"/>
      <c r="H17" s="423"/>
      <c r="I17" s="428" t="e">
        <f t="shared" si="0"/>
        <v>#DIV/0!</v>
      </c>
    </row>
    <row r="18" spans="1:9" ht="15">
      <c r="A18" s="643"/>
      <c r="B18" s="422" t="s">
        <v>706</v>
      </c>
      <c r="C18" s="422"/>
      <c r="D18" s="422"/>
      <c r="E18" s="422"/>
      <c r="F18" s="423"/>
      <c r="G18" s="423"/>
      <c r="H18" s="423"/>
      <c r="I18" s="428" t="e">
        <f t="shared" si="0"/>
        <v>#DIV/0!</v>
      </c>
    </row>
    <row r="19" spans="1:9" ht="30">
      <c r="A19" s="643"/>
      <c r="B19" s="422" t="s">
        <v>707</v>
      </c>
      <c r="C19" s="422"/>
      <c r="D19" s="422"/>
      <c r="E19" s="422"/>
      <c r="F19" s="423"/>
      <c r="G19" s="423"/>
      <c r="H19" s="423"/>
      <c r="I19" s="428" t="e">
        <f t="shared" si="0"/>
        <v>#DIV/0!</v>
      </c>
    </row>
    <row r="20" spans="1:9" ht="45">
      <c r="A20" s="643"/>
      <c r="B20" s="436" t="s">
        <v>561</v>
      </c>
      <c r="C20" s="436"/>
      <c r="D20" s="436"/>
      <c r="E20" s="436"/>
      <c r="F20" s="439">
        <v>122000000</v>
      </c>
      <c r="G20" s="439"/>
      <c r="H20" s="439">
        <f>90467779+589723091</f>
        <v>680190870</v>
      </c>
      <c r="I20" s="438">
        <f t="shared" si="0"/>
        <v>5.575335</v>
      </c>
    </row>
    <row r="21" spans="1:9" ht="15">
      <c r="A21" s="643"/>
      <c r="B21" s="442" t="s">
        <v>716</v>
      </c>
      <c r="C21" s="442"/>
      <c r="D21" s="442"/>
      <c r="E21" s="442"/>
      <c r="F21" s="445"/>
      <c r="G21" s="445"/>
      <c r="H21" s="445">
        <f>+H22+H23</f>
        <v>589723091</v>
      </c>
      <c r="I21" s="444"/>
    </row>
    <row r="22" spans="1:9" ht="45">
      <c r="A22" s="643"/>
      <c r="B22" s="422" t="s">
        <v>718</v>
      </c>
      <c r="C22" s="422" t="s">
        <v>719</v>
      </c>
      <c r="D22" s="422"/>
      <c r="E22" s="422"/>
      <c r="F22" s="423"/>
      <c r="G22" s="423"/>
      <c r="H22" s="423">
        <v>589723091</v>
      </c>
      <c r="I22" s="428" t="e">
        <f aca="true" t="shared" si="1" ref="I22:I30">+H22/F22</f>
        <v>#DIV/0!</v>
      </c>
    </row>
    <row r="23" spans="1:9" ht="15">
      <c r="A23" s="643"/>
      <c r="B23" s="422" t="s">
        <v>708</v>
      </c>
      <c r="C23" s="422"/>
      <c r="D23" s="422"/>
      <c r="E23" s="422"/>
      <c r="F23" s="423"/>
      <c r="G23" s="423"/>
      <c r="H23" s="423"/>
      <c r="I23" s="428" t="e">
        <f t="shared" si="1"/>
        <v>#DIV/0!</v>
      </c>
    </row>
    <row r="24" spans="1:9" ht="30">
      <c r="A24" s="643"/>
      <c r="B24" s="442" t="s">
        <v>717</v>
      </c>
      <c r="C24" s="442"/>
      <c r="D24" s="442"/>
      <c r="E24" s="442"/>
      <c r="F24" s="443"/>
      <c r="G24" s="443"/>
      <c r="H24" s="443">
        <f>+H25+H26+H27+H28+H29</f>
        <v>0</v>
      </c>
      <c r="I24" s="428" t="e">
        <f t="shared" si="1"/>
        <v>#DIV/0!</v>
      </c>
    </row>
    <row r="25" spans="1:9" ht="15">
      <c r="A25" s="643"/>
      <c r="B25" s="422" t="s">
        <v>708</v>
      </c>
      <c r="C25" s="422"/>
      <c r="D25" s="422"/>
      <c r="E25" s="422"/>
      <c r="F25" s="423"/>
      <c r="G25" s="423"/>
      <c r="H25" s="423"/>
      <c r="I25" s="428" t="e">
        <f t="shared" si="1"/>
        <v>#DIV/0!</v>
      </c>
    </row>
    <row r="26" spans="1:9" ht="15">
      <c r="A26" s="643"/>
      <c r="B26" s="422" t="s">
        <v>709</v>
      </c>
      <c r="C26" s="422"/>
      <c r="D26" s="422"/>
      <c r="E26" s="422"/>
      <c r="F26" s="423"/>
      <c r="G26" s="423"/>
      <c r="H26" s="423"/>
      <c r="I26" s="428" t="e">
        <f t="shared" si="1"/>
        <v>#DIV/0!</v>
      </c>
    </row>
    <row r="27" spans="1:9" ht="15">
      <c r="A27" s="643"/>
      <c r="B27" s="422" t="s">
        <v>709</v>
      </c>
      <c r="C27" s="422"/>
      <c r="D27" s="422"/>
      <c r="E27" s="422"/>
      <c r="F27" s="423"/>
      <c r="G27" s="423"/>
      <c r="H27" s="423"/>
      <c r="I27" s="428" t="e">
        <f t="shared" si="1"/>
        <v>#DIV/0!</v>
      </c>
    </row>
    <row r="28" spans="1:9" ht="15">
      <c r="A28" s="643"/>
      <c r="B28" s="422" t="s">
        <v>709</v>
      </c>
      <c r="C28" s="422"/>
      <c r="D28" s="422"/>
      <c r="E28" s="422"/>
      <c r="F28" s="423"/>
      <c r="G28" s="423"/>
      <c r="H28" s="423"/>
      <c r="I28" s="428" t="e">
        <f t="shared" si="1"/>
        <v>#DIV/0!</v>
      </c>
    </row>
    <row r="29" spans="1:9" ht="15">
      <c r="A29" s="643"/>
      <c r="B29" s="422" t="s">
        <v>709</v>
      </c>
      <c r="C29" s="422"/>
      <c r="D29" s="422"/>
      <c r="E29" s="422"/>
      <c r="F29" s="423"/>
      <c r="G29" s="423"/>
      <c r="H29" s="423"/>
      <c r="I29" s="428" t="e">
        <f t="shared" si="1"/>
        <v>#DIV/0!</v>
      </c>
    </row>
    <row r="30" spans="1:9" ht="45">
      <c r="A30" s="643"/>
      <c r="B30" s="436" t="s">
        <v>562</v>
      </c>
      <c r="C30" s="436"/>
      <c r="D30" s="436"/>
      <c r="E30" s="436"/>
      <c r="F30" s="437">
        <v>59500000</v>
      </c>
      <c r="G30" s="437"/>
      <c r="H30" s="437">
        <f>29500000+10000000</f>
        <v>39500000</v>
      </c>
      <c r="I30" s="438">
        <f t="shared" si="1"/>
        <v>0.6638655462184874</v>
      </c>
    </row>
    <row r="31" spans="1:9" ht="15">
      <c r="A31" s="430"/>
      <c r="B31" s="431"/>
      <c r="C31" s="431"/>
      <c r="D31" s="431"/>
      <c r="E31" s="431"/>
      <c r="F31" s="433"/>
      <c r="G31" s="433"/>
      <c r="H31" s="433"/>
      <c r="I31" s="432"/>
    </row>
    <row r="32" spans="1:9" ht="15">
      <c r="A32" s="430"/>
      <c r="B32" s="431"/>
      <c r="C32" s="431"/>
      <c r="D32" s="431"/>
      <c r="E32" s="431"/>
      <c r="F32" s="433"/>
      <c r="G32" s="433"/>
      <c r="H32" s="433"/>
      <c r="I32" s="432"/>
    </row>
    <row r="33" spans="1:9" ht="15.75" thickBot="1">
      <c r="A33" s="424"/>
      <c r="B33" s="425" t="s">
        <v>710</v>
      </c>
      <c r="C33" s="425"/>
      <c r="D33" s="425"/>
      <c r="E33" s="425"/>
      <c r="F33" s="434"/>
      <c r="G33" s="434"/>
      <c r="H33" s="434"/>
      <c r="I33" s="429"/>
    </row>
    <row r="34" ht="15.75" thickTop="1"/>
  </sheetData>
  <sheetProtection/>
  <mergeCells count="3">
    <mergeCell ref="A3:B3"/>
    <mergeCell ref="A4:A30"/>
    <mergeCell ref="A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7">
      <selection activeCell="C7" sqref="C7"/>
    </sheetView>
  </sheetViews>
  <sheetFormatPr defaultColWidth="11.421875" defaultRowHeight="15"/>
  <cols>
    <col min="2" max="2" width="23.00390625" style="0" customWidth="1"/>
    <col min="3" max="3" width="44.57421875" style="0" customWidth="1"/>
    <col min="4" max="4" width="15.140625" style="6" hidden="1" customWidth="1"/>
    <col min="5" max="5" width="12.57421875" style="6" bestFit="1" customWidth="1"/>
    <col min="6" max="6" width="11.421875" style="6" customWidth="1"/>
    <col min="7" max="7" width="15.8515625" style="6" customWidth="1"/>
  </cols>
  <sheetData>
    <row r="1" spans="1:7" ht="15.75">
      <c r="A1" s="647" t="s">
        <v>1</v>
      </c>
      <c r="B1" s="647"/>
      <c r="C1" s="647"/>
      <c r="D1" s="647"/>
      <c r="E1" s="647"/>
      <c r="F1" s="647"/>
      <c r="G1" s="647"/>
    </row>
    <row r="2" spans="1:7" ht="15.75">
      <c r="A2" s="647" t="s">
        <v>723</v>
      </c>
      <c r="B2" s="647"/>
      <c r="C2" s="647"/>
      <c r="D2" s="647"/>
      <c r="E2" s="647"/>
      <c r="F2" s="647"/>
      <c r="G2" s="647"/>
    </row>
    <row r="3" spans="1:7" ht="29.25" customHeight="1">
      <c r="A3" s="648" t="s">
        <v>724</v>
      </c>
      <c r="B3" s="648"/>
      <c r="C3" s="648"/>
      <c r="D3" s="648"/>
      <c r="E3" s="648"/>
      <c r="F3" s="648"/>
      <c r="G3" s="648"/>
    </row>
    <row r="4" spans="1:7" ht="15.75" customHeight="1" thickBot="1">
      <c r="A4" s="649" t="s">
        <v>721</v>
      </c>
      <c r="B4" s="649"/>
      <c r="C4" s="649"/>
      <c r="D4" s="649"/>
      <c r="E4" s="649"/>
      <c r="F4" s="649"/>
      <c r="G4" s="649"/>
    </row>
    <row r="5" spans="1:7" ht="45" customHeight="1" thickTop="1">
      <c r="A5" s="656" t="s">
        <v>501</v>
      </c>
      <c r="B5" s="657"/>
      <c r="C5" s="658"/>
      <c r="D5" s="448" t="s">
        <v>725</v>
      </c>
      <c r="E5" s="449" t="s">
        <v>727</v>
      </c>
      <c r="F5" s="448" t="s">
        <v>726</v>
      </c>
      <c r="G5" s="458" t="s">
        <v>736</v>
      </c>
    </row>
    <row r="6" spans="1:7" ht="15">
      <c r="A6" s="650" t="s">
        <v>567</v>
      </c>
      <c r="B6" s="420" t="s">
        <v>722</v>
      </c>
      <c r="C6" s="420"/>
      <c r="D6" s="423">
        <v>155687072</v>
      </c>
      <c r="E6" s="446">
        <f>+E7+E19+E26</f>
        <v>195191075</v>
      </c>
      <c r="F6" s="464"/>
      <c r="G6" s="469"/>
    </row>
    <row r="7" spans="1:7" ht="60" customHeight="1">
      <c r="A7" s="650"/>
      <c r="B7" s="653" t="s">
        <v>565</v>
      </c>
      <c r="C7" s="452" t="s">
        <v>564</v>
      </c>
      <c r="D7" s="453">
        <v>105687072</v>
      </c>
      <c r="E7" s="468">
        <f>SUM(E8:E18)</f>
        <v>195191075</v>
      </c>
      <c r="F7" s="465"/>
      <c r="G7" s="470">
        <f>+F7+E7/D7</f>
        <v>1.846877496994145</v>
      </c>
    </row>
    <row r="8" spans="1:7" ht="33" customHeight="1">
      <c r="A8" s="650"/>
      <c r="B8" s="654"/>
      <c r="C8" s="422" t="s">
        <v>730</v>
      </c>
      <c r="D8" s="435"/>
      <c r="E8" s="446"/>
      <c r="F8" s="464"/>
      <c r="G8" s="460"/>
    </row>
    <row r="9" spans="1:7" ht="30" customHeight="1">
      <c r="A9" s="650"/>
      <c r="B9" s="654"/>
      <c r="C9" s="422" t="s">
        <v>731</v>
      </c>
      <c r="D9" s="435"/>
      <c r="E9" s="446"/>
      <c r="F9" s="464"/>
      <c r="G9" s="460"/>
    </row>
    <row r="10" spans="1:7" ht="30" customHeight="1">
      <c r="A10" s="650"/>
      <c r="B10" s="654"/>
      <c r="C10" s="422" t="s">
        <v>732</v>
      </c>
      <c r="D10" s="435"/>
      <c r="E10" s="446"/>
      <c r="F10" s="464"/>
      <c r="G10" s="460"/>
    </row>
    <row r="11" spans="1:7" ht="30" customHeight="1">
      <c r="A11" s="650"/>
      <c r="B11" s="654"/>
      <c r="C11" s="455" t="s">
        <v>733</v>
      </c>
      <c r="D11" s="435"/>
      <c r="E11" s="446"/>
      <c r="F11" s="464"/>
      <c r="G11" s="460"/>
    </row>
    <row r="12" spans="1:7" ht="30" customHeight="1">
      <c r="A12" s="650"/>
      <c r="B12" s="654"/>
      <c r="C12" s="422" t="s">
        <v>734</v>
      </c>
      <c r="D12" s="435"/>
      <c r="E12" s="446">
        <f>16200000+10000000+10000000</f>
        <v>36200000</v>
      </c>
      <c r="F12" s="464"/>
      <c r="G12" s="460"/>
    </row>
    <row r="13" spans="1:7" ht="60" customHeight="1">
      <c r="A13" s="650"/>
      <c r="B13" s="654"/>
      <c r="C13" s="422" t="s">
        <v>735</v>
      </c>
      <c r="D13" s="435"/>
      <c r="E13" s="446">
        <f>15180000+46211075+20000000</f>
        <v>81391075</v>
      </c>
      <c r="F13" s="464"/>
      <c r="G13" s="460"/>
    </row>
    <row r="14" spans="1:7" ht="30" customHeight="1">
      <c r="A14" s="650"/>
      <c r="B14" s="654"/>
      <c r="C14" s="456" t="s">
        <v>326</v>
      </c>
      <c r="D14" s="457"/>
      <c r="E14" s="446">
        <f>SUM(E15:E18)</f>
        <v>38800000</v>
      </c>
      <c r="F14" s="466"/>
      <c r="G14" s="462"/>
    </row>
    <row r="15" spans="1:7" ht="30" customHeight="1">
      <c r="A15" s="650"/>
      <c r="B15" s="654"/>
      <c r="C15" s="456" t="s">
        <v>328</v>
      </c>
      <c r="D15" s="457"/>
      <c r="E15" s="446">
        <v>8800000</v>
      </c>
      <c r="F15" s="466"/>
      <c r="G15" s="462"/>
    </row>
    <row r="16" spans="1:7" ht="30" customHeight="1">
      <c r="A16" s="650"/>
      <c r="B16" s="654"/>
      <c r="C16" s="456" t="s">
        <v>330</v>
      </c>
      <c r="D16" s="457"/>
      <c r="E16" s="446">
        <v>8800000</v>
      </c>
      <c r="F16" s="466"/>
      <c r="G16" s="462"/>
    </row>
    <row r="17" spans="1:7" ht="30" customHeight="1">
      <c r="A17" s="650"/>
      <c r="B17" s="654"/>
      <c r="C17" s="456" t="s">
        <v>332</v>
      </c>
      <c r="D17" s="457"/>
      <c r="E17" s="446">
        <v>12400000</v>
      </c>
      <c r="F17" s="466"/>
      <c r="G17" s="462"/>
    </row>
    <row r="18" spans="1:7" ht="30" customHeight="1">
      <c r="A18" s="650"/>
      <c r="B18" s="654"/>
      <c r="C18" s="456" t="s">
        <v>728</v>
      </c>
      <c r="D18" s="457"/>
      <c r="E18" s="446">
        <v>8800000</v>
      </c>
      <c r="F18" s="466"/>
      <c r="G18" s="462"/>
    </row>
    <row r="19" spans="1:7" ht="45.75" customHeight="1">
      <c r="A19" s="650"/>
      <c r="B19" s="654"/>
      <c r="C19" s="452" t="s">
        <v>566</v>
      </c>
      <c r="D19" s="453">
        <v>25000000</v>
      </c>
      <c r="E19" s="454">
        <f>SUM(E20:E25)</f>
        <v>0</v>
      </c>
      <c r="F19" s="465"/>
      <c r="G19" s="461">
        <f>+F19+E19/D19</f>
        <v>0</v>
      </c>
    </row>
    <row r="20" spans="1:7" ht="22.5" customHeight="1">
      <c r="A20" s="650"/>
      <c r="B20" s="654"/>
      <c r="C20" s="420"/>
      <c r="D20" s="435"/>
      <c r="E20" s="446"/>
      <c r="F20" s="464"/>
      <c r="G20" s="460"/>
    </row>
    <row r="21" spans="1:7" ht="22.5" customHeight="1">
      <c r="A21" s="650"/>
      <c r="B21" s="654"/>
      <c r="C21" s="420"/>
      <c r="D21" s="435"/>
      <c r="E21" s="446"/>
      <c r="F21" s="464"/>
      <c r="G21" s="460"/>
    </row>
    <row r="22" spans="1:7" ht="22.5" customHeight="1">
      <c r="A22" s="650"/>
      <c r="B22" s="654"/>
      <c r="C22" s="420"/>
      <c r="D22" s="435"/>
      <c r="E22" s="446"/>
      <c r="F22" s="464"/>
      <c r="G22" s="460"/>
    </row>
    <row r="23" spans="1:7" ht="22.5" customHeight="1">
      <c r="A23" s="650"/>
      <c r="B23" s="654"/>
      <c r="C23" s="420"/>
      <c r="D23" s="435"/>
      <c r="E23" s="446"/>
      <c r="F23" s="464"/>
      <c r="G23" s="460"/>
    </row>
    <row r="24" spans="1:7" ht="22.5" customHeight="1">
      <c r="A24" s="650"/>
      <c r="B24" s="654"/>
      <c r="C24" s="420"/>
      <c r="D24" s="435"/>
      <c r="E24" s="446"/>
      <c r="F24" s="464"/>
      <c r="G24" s="460"/>
    </row>
    <row r="25" spans="1:7" ht="22.5" customHeight="1">
      <c r="A25" s="650"/>
      <c r="B25" s="655"/>
      <c r="C25" s="420"/>
      <c r="D25" s="435"/>
      <c r="E25" s="446"/>
      <c r="F25" s="464"/>
      <c r="G25" s="460"/>
    </row>
    <row r="26" spans="1:7" ht="30">
      <c r="A26" s="650"/>
      <c r="B26" s="651" t="s">
        <v>570</v>
      </c>
      <c r="C26" s="452" t="s">
        <v>571</v>
      </c>
      <c r="D26" s="453">
        <v>25000000</v>
      </c>
      <c r="E26" s="454">
        <f>SUM(E27:E29)</f>
        <v>0</v>
      </c>
      <c r="F26" s="465"/>
      <c r="G26" s="461">
        <f>+F26+E26/D26</f>
        <v>0</v>
      </c>
    </row>
    <row r="27" spans="1:7" ht="20.25" customHeight="1">
      <c r="A27" s="650"/>
      <c r="B27" s="651"/>
      <c r="C27" s="420"/>
      <c r="D27" s="423"/>
      <c r="E27" s="446"/>
      <c r="F27" s="464"/>
      <c r="G27" s="460"/>
    </row>
    <row r="28" spans="1:7" ht="20.25" customHeight="1">
      <c r="A28" s="650"/>
      <c r="B28" s="651"/>
      <c r="C28" s="420"/>
      <c r="D28" s="423"/>
      <c r="E28" s="446"/>
      <c r="F28" s="464"/>
      <c r="G28" s="460"/>
    </row>
    <row r="29" spans="1:7" ht="20.25" customHeight="1" thickBot="1">
      <c r="A29" s="424"/>
      <c r="B29" s="652"/>
      <c r="C29" s="426"/>
      <c r="D29" s="434"/>
      <c r="E29" s="447"/>
      <c r="F29" s="467"/>
      <c r="G29" s="463"/>
    </row>
    <row r="30" ht="15.75" thickTop="1"/>
    <row r="31" spans="1:7" ht="33" customHeight="1">
      <c r="A31" s="450" t="s">
        <v>729</v>
      </c>
      <c r="B31" s="451">
        <v>24000000</v>
      </c>
      <c r="C31" s="451">
        <v>8838000</v>
      </c>
      <c r="D31" s="451">
        <f>+B31-C31</f>
        <v>15162000</v>
      </c>
      <c r="E31" s="646"/>
      <c r="F31" s="459"/>
      <c r="G31" s="459"/>
    </row>
    <row r="32" spans="5:7" ht="15">
      <c r="E32" s="646"/>
      <c r="F32" s="459"/>
      <c r="G32" s="459"/>
    </row>
  </sheetData>
  <sheetProtection/>
  <mergeCells count="9">
    <mergeCell ref="E31:E32"/>
    <mergeCell ref="A1:G1"/>
    <mergeCell ref="A2:G2"/>
    <mergeCell ref="A3:G3"/>
    <mergeCell ref="A4:G4"/>
    <mergeCell ref="A6:A28"/>
    <mergeCell ref="B26:B29"/>
    <mergeCell ref="B7:B25"/>
    <mergeCell ref="A5:C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5">
      <selection activeCell="E5" sqref="E5"/>
    </sheetView>
  </sheetViews>
  <sheetFormatPr defaultColWidth="11.421875" defaultRowHeight="15"/>
  <cols>
    <col min="2" max="2" width="16.7109375" style="0" customWidth="1"/>
    <col min="3" max="3" width="26.57421875" style="0" customWidth="1"/>
    <col min="4" max="4" width="25.00390625" style="0" customWidth="1"/>
    <col min="5" max="5" width="17.00390625" style="0" customWidth="1"/>
    <col min="10" max="10" width="31.8515625" style="0" customWidth="1"/>
  </cols>
  <sheetData>
    <row r="1" spans="1:7" ht="15.75">
      <c r="A1" s="647" t="s">
        <v>1</v>
      </c>
      <c r="B1" s="647"/>
      <c r="C1" s="647"/>
      <c r="D1" s="647"/>
      <c r="E1" s="647"/>
      <c r="F1" s="647"/>
      <c r="G1" s="647"/>
    </row>
    <row r="2" spans="1:7" ht="15.75">
      <c r="A2" s="647" t="s">
        <v>723</v>
      </c>
      <c r="B2" s="647"/>
      <c r="C2" s="647"/>
      <c r="D2" s="647"/>
      <c r="E2" s="647"/>
      <c r="F2" s="647"/>
      <c r="G2" s="647"/>
    </row>
    <row r="3" spans="1:13" ht="22.5">
      <c r="A3" s="648" t="s">
        <v>739</v>
      </c>
      <c r="B3" s="648"/>
      <c r="C3" s="648"/>
      <c r="D3" s="648"/>
      <c r="E3" s="648"/>
      <c r="F3" s="648"/>
      <c r="G3" s="648"/>
      <c r="J3" s="472" t="s">
        <v>196</v>
      </c>
      <c r="K3" s="473">
        <v>1459924799.91</v>
      </c>
      <c r="L3" s="473">
        <v>672416182</v>
      </c>
      <c r="M3" s="473">
        <f aca="true" t="shared" si="0" ref="M3:M58">+K3-L3</f>
        <v>787508617.9100001</v>
      </c>
    </row>
    <row r="4" spans="1:13" ht="15.75" thickBot="1">
      <c r="A4" s="659" t="s">
        <v>740</v>
      </c>
      <c r="B4" s="659"/>
      <c r="C4" s="659"/>
      <c r="D4" s="659"/>
      <c r="E4" s="659"/>
      <c r="F4" s="659"/>
      <c r="G4" s="659"/>
      <c r="J4" s="472" t="s">
        <v>198</v>
      </c>
      <c r="K4" s="473">
        <v>5000000</v>
      </c>
      <c r="L4" s="473">
        <v>0</v>
      </c>
      <c r="M4" s="473">
        <f t="shared" si="0"/>
        <v>5000000</v>
      </c>
    </row>
    <row r="5" spans="5:13" ht="76.5" thickBot="1" thickTop="1">
      <c r="E5" s="448" t="s">
        <v>725</v>
      </c>
      <c r="F5" s="449" t="s">
        <v>727</v>
      </c>
      <c r="G5" s="448" t="s">
        <v>726</v>
      </c>
      <c r="H5" s="458" t="s">
        <v>736</v>
      </c>
      <c r="J5" s="472" t="s">
        <v>200</v>
      </c>
      <c r="K5" s="473">
        <v>5000000</v>
      </c>
      <c r="L5" s="473">
        <v>0</v>
      </c>
      <c r="M5" s="473">
        <f t="shared" si="0"/>
        <v>5000000</v>
      </c>
    </row>
    <row r="6" spans="1:13" ht="22.5">
      <c r="A6" s="625" t="s">
        <v>505</v>
      </c>
      <c r="B6" s="630" t="s">
        <v>532</v>
      </c>
      <c r="C6" s="630"/>
      <c r="D6" s="630"/>
      <c r="E6">
        <v>4781334171</v>
      </c>
      <c r="F6" s="228"/>
      <c r="G6" s="228"/>
      <c r="J6" s="472" t="s">
        <v>202</v>
      </c>
      <c r="K6" s="473">
        <v>5000000</v>
      </c>
      <c r="L6" s="473">
        <v>0</v>
      </c>
      <c r="M6" s="473">
        <f t="shared" si="0"/>
        <v>5000000</v>
      </c>
    </row>
    <row r="7" spans="1:13" ht="22.5">
      <c r="A7" s="626"/>
      <c r="B7" s="348"/>
      <c r="C7" s="348"/>
      <c r="D7" s="348"/>
      <c r="E7">
        <v>22.713802080988696</v>
      </c>
      <c r="F7" s="349"/>
      <c r="G7" s="349"/>
      <c r="J7" s="472" t="s">
        <v>204</v>
      </c>
      <c r="K7" s="473">
        <v>126312024</v>
      </c>
      <c r="L7" s="473">
        <v>126312020</v>
      </c>
      <c r="M7" s="473">
        <f t="shared" si="0"/>
        <v>4</v>
      </c>
    </row>
    <row r="8" spans="1:13" ht="24.75" customHeight="1">
      <c r="A8" s="627"/>
      <c r="B8" s="558" t="s">
        <v>589</v>
      </c>
      <c r="C8" s="632" t="s">
        <v>639</v>
      </c>
      <c r="D8" s="632"/>
      <c r="E8">
        <v>1977195268</v>
      </c>
      <c r="F8" s="220"/>
      <c r="G8" s="220"/>
      <c r="J8" s="472" t="s">
        <v>206</v>
      </c>
      <c r="K8" s="473">
        <v>8400000</v>
      </c>
      <c r="L8" s="473">
        <v>8400000</v>
      </c>
      <c r="M8" s="473">
        <f t="shared" si="0"/>
        <v>0</v>
      </c>
    </row>
    <row r="9" spans="1:13" ht="84" customHeight="1">
      <c r="A9" s="627"/>
      <c r="B9" s="558"/>
      <c r="C9" s="555" t="s">
        <v>588</v>
      </c>
      <c r="D9" s="108" t="s">
        <v>593</v>
      </c>
      <c r="E9">
        <v>120000000</v>
      </c>
      <c r="F9" s="75"/>
      <c r="G9" s="75"/>
      <c r="J9" s="472" t="s">
        <v>208</v>
      </c>
      <c r="K9" s="473">
        <v>8400000</v>
      </c>
      <c r="L9" s="473">
        <v>8400000</v>
      </c>
      <c r="M9" s="473">
        <f t="shared" si="0"/>
        <v>0</v>
      </c>
    </row>
    <row r="10" spans="1:13" ht="111" customHeight="1">
      <c r="A10" s="627"/>
      <c r="B10" s="558"/>
      <c r="C10" s="555"/>
      <c r="D10" s="108" t="s">
        <v>597</v>
      </c>
      <c r="E10">
        <v>748883244</v>
      </c>
      <c r="F10" s="75"/>
      <c r="G10" s="75"/>
      <c r="J10" s="472" t="s">
        <v>210</v>
      </c>
      <c r="K10" s="473">
        <v>8400000</v>
      </c>
      <c r="L10" s="473">
        <v>8400000</v>
      </c>
      <c r="M10" s="473">
        <f t="shared" si="0"/>
        <v>0</v>
      </c>
    </row>
    <row r="11" spans="1:13" ht="84" customHeight="1">
      <c r="A11" s="627"/>
      <c r="B11" s="558"/>
      <c r="C11" s="555"/>
      <c r="D11" s="108" t="s">
        <v>590</v>
      </c>
      <c r="E11">
        <v>912000000</v>
      </c>
      <c r="F11" s="75"/>
      <c r="G11" s="75"/>
      <c r="J11" s="472" t="s">
        <v>212</v>
      </c>
      <c r="K11" s="473">
        <v>69750000</v>
      </c>
      <c r="L11" s="473">
        <v>69750000</v>
      </c>
      <c r="M11" s="473">
        <f t="shared" si="0"/>
        <v>0</v>
      </c>
    </row>
    <row r="12" spans="1:13" ht="31.5" customHeight="1">
      <c r="A12" s="627"/>
      <c r="B12" s="558"/>
      <c r="C12" s="555"/>
      <c r="D12" s="108" t="s">
        <v>591</v>
      </c>
      <c r="E12">
        <v>196312024</v>
      </c>
      <c r="F12" s="75"/>
      <c r="G12" s="75"/>
      <c r="J12" s="472" t="s">
        <v>214</v>
      </c>
      <c r="K12" s="473">
        <v>31362024</v>
      </c>
      <c r="L12" s="473">
        <v>31362020</v>
      </c>
      <c r="M12" s="473">
        <f t="shared" si="0"/>
        <v>4</v>
      </c>
    </row>
    <row r="13" spans="1:13" ht="34.5" customHeight="1">
      <c r="A13" s="627"/>
      <c r="B13" s="558"/>
      <c r="C13" s="555"/>
      <c r="D13" s="108" t="s">
        <v>592</v>
      </c>
      <c r="E13">
        <v>0</v>
      </c>
      <c r="F13" s="75"/>
      <c r="G13" s="75"/>
      <c r="J13" s="472" t="s">
        <v>216</v>
      </c>
      <c r="K13" s="473">
        <v>20000000</v>
      </c>
      <c r="L13" s="473">
        <v>11000000</v>
      </c>
      <c r="M13" s="473">
        <f t="shared" si="0"/>
        <v>9000000</v>
      </c>
    </row>
    <row r="14" spans="1:13" ht="22.5">
      <c r="A14" s="627"/>
      <c r="B14" s="558" t="s">
        <v>520</v>
      </c>
      <c r="C14" s="632" t="s">
        <v>594</v>
      </c>
      <c r="D14" s="632"/>
      <c r="E14">
        <v>1180848616</v>
      </c>
      <c r="F14" s="220"/>
      <c r="G14" s="220"/>
      <c r="J14" s="472" t="s">
        <v>218</v>
      </c>
      <c r="K14" s="473">
        <v>20000000</v>
      </c>
      <c r="L14" s="473">
        <v>11000000</v>
      </c>
      <c r="M14" s="473">
        <f t="shared" si="0"/>
        <v>9000000</v>
      </c>
    </row>
    <row r="15" spans="1:13" ht="22.5">
      <c r="A15" s="627"/>
      <c r="B15" s="558"/>
      <c r="C15" s="599" t="s">
        <v>599</v>
      </c>
      <c r="D15" s="599" t="s">
        <v>600</v>
      </c>
      <c r="E15">
        <v>1180848616</v>
      </c>
      <c r="F15" s="298"/>
      <c r="G15" s="298"/>
      <c r="J15" s="472" t="s">
        <v>220</v>
      </c>
      <c r="K15" s="473">
        <v>355409718.91</v>
      </c>
      <c r="L15" s="473">
        <v>348701798</v>
      </c>
      <c r="M15" s="473">
        <f t="shared" si="0"/>
        <v>6707920.910000026</v>
      </c>
    </row>
    <row r="16" spans="1:13" ht="33">
      <c r="A16" s="627"/>
      <c r="B16" s="558"/>
      <c r="C16" s="599"/>
      <c r="D16" s="599"/>
      <c r="F16" s="298"/>
      <c r="G16" s="298"/>
      <c r="J16" s="472" t="s">
        <v>222</v>
      </c>
      <c r="K16" s="473">
        <v>286526474.91</v>
      </c>
      <c r="L16" s="473">
        <v>280000000</v>
      </c>
      <c r="M16" s="473">
        <f t="shared" si="0"/>
        <v>6526474.910000026</v>
      </c>
    </row>
    <row r="17" spans="1:13" ht="33">
      <c r="A17" s="627"/>
      <c r="B17" s="558" t="s">
        <v>521</v>
      </c>
      <c r="C17" s="660" t="s">
        <v>603</v>
      </c>
      <c r="D17" s="661"/>
      <c r="E17">
        <v>354000000</v>
      </c>
      <c r="F17" s="229"/>
      <c r="G17" s="229"/>
      <c r="J17" s="472" t="s">
        <v>224</v>
      </c>
      <c r="K17" s="473">
        <v>54824638</v>
      </c>
      <c r="L17" s="473">
        <v>54759782</v>
      </c>
      <c r="M17" s="473">
        <f t="shared" si="0"/>
        <v>64856</v>
      </c>
    </row>
    <row r="18" spans="1:13" ht="33">
      <c r="A18" s="627"/>
      <c r="B18" s="558"/>
      <c r="C18" s="598" t="s">
        <v>602</v>
      </c>
      <c r="D18" s="599" t="s">
        <v>601</v>
      </c>
      <c r="E18">
        <v>354000000</v>
      </c>
      <c r="F18" s="298"/>
      <c r="G18" s="298"/>
      <c r="J18" s="472" t="s">
        <v>226</v>
      </c>
      <c r="K18" s="473">
        <v>14058606</v>
      </c>
      <c r="L18" s="473">
        <v>13942016</v>
      </c>
      <c r="M18" s="473">
        <f t="shared" si="0"/>
        <v>116590</v>
      </c>
    </row>
    <row r="19" spans="1:13" ht="15">
      <c r="A19" s="627"/>
      <c r="B19" s="558"/>
      <c r="C19" s="598"/>
      <c r="D19" s="599"/>
      <c r="F19" s="298"/>
      <c r="G19" s="298"/>
      <c r="J19" s="472" t="s">
        <v>228</v>
      </c>
      <c r="K19" s="473">
        <v>0</v>
      </c>
      <c r="L19" s="473">
        <v>0</v>
      </c>
      <c r="M19" s="473">
        <f t="shared" si="0"/>
        <v>0</v>
      </c>
    </row>
    <row r="20" spans="1:13" ht="22.5">
      <c r="A20" s="627"/>
      <c r="B20" s="558" t="s">
        <v>522</v>
      </c>
      <c r="C20" s="597" t="s">
        <v>604</v>
      </c>
      <c r="D20" s="597"/>
      <c r="E20">
        <v>964000000</v>
      </c>
      <c r="F20" s="230"/>
      <c r="G20" s="230"/>
      <c r="J20" s="472" t="s">
        <v>230</v>
      </c>
      <c r="K20" s="473">
        <v>0</v>
      </c>
      <c r="L20" s="473">
        <v>0</v>
      </c>
      <c r="M20" s="473">
        <f t="shared" si="0"/>
        <v>0</v>
      </c>
    </row>
    <row r="21" spans="1:13" ht="22.5">
      <c r="A21" s="627"/>
      <c r="B21" s="558"/>
      <c r="C21" s="300"/>
      <c r="D21" s="358" t="s">
        <v>650</v>
      </c>
      <c r="E21">
        <v>964000000</v>
      </c>
      <c r="F21" s="359"/>
      <c r="G21" s="359"/>
      <c r="J21" s="472" t="s">
        <v>232</v>
      </c>
      <c r="K21" s="473">
        <v>190000000</v>
      </c>
      <c r="L21" s="473">
        <v>139335096</v>
      </c>
      <c r="M21" s="473">
        <f t="shared" si="0"/>
        <v>50664904</v>
      </c>
    </row>
    <row r="22" spans="1:13" ht="57.75" customHeight="1">
      <c r="A22" s="627"/>
      <c r="B22" s="558"/>
      <c r="C22" s="598" t="s">
        <v>605</v>
      </c>
      <c r="D22" s="108" t="s">
        <v>608</v>
      </c>
      <c r="E22">
        <v>894000000</v>
      </c>
      <c r="F22" s="75"/>
      <c r="G22" s="75"/>
      <c r="J22" s="472" t="s">
        <v>234</v>
      </c>
      <c r="K22" s="473">
        <v>150000000</v>
      </c>
      <c r="L22" s="473">
        <v>130213075</v>
      </c>
      <c r="M22" s="473">
        <f t="shared" si="0"/>
        <v>19786925</v>
      </c>
    </row>
    <row r="23" spans="1:13" ht="39" customHeight="1">
      <c r="A23" s="627"/>
      <c r="B23" s="558"/>
      <c r="C23" s="598"/>
      <c r="D23" s="108" t="s">
        <v>607</v>
      </c>
      <c r="E23">
        <v>70000000</v>
      </c>
      <c r="F23" s="75"/>
      <c r="G23" s="75"/>
      <c r="J23" s="472" t="s">
        <v>236</v>
      </c>
      <c r="K23" s="473">
        <v>20000000</v>
      </c>
      <c r="L23" s="473">
        <v>0</v>
      </c>
      <c r="M23" s="473">
        <f t="shared" si="0"/>
        <v>20000000</v>
      </c>
    </row>
    <row r="24" spans="1:13" ht="33">
      <c r="A24" s="627"/>
      <c r="B24" s="558"/>
      <c r="C24" s="617" t="s">
        <v>612</v>
      </c>
      <c r="D24" s="597"/>
      <c r="E24">
        <v>305290287</v>
      </c>
      <c r="F24" s="220"/>
      <c r="G24" s="220"/>
      <c r="J24" s="472" t="s">
        <v>238</v>
      </c>
      <c r="K24" s="473">
        <v>20000000</v>
      </c>
      <c r="L24" s="473">
        <v>9122021</v>
      </c>
      <c r="M24" s="473">
        <f t="shared" si="0"/>
        <v>10877979</v>
      </c>
    </row>
    <row r="25" spans="1:13" ht="41.25" customHeight="1">
      <c r="A25" s="627"/>
      <c r="B25" s="614"/>
      <c r="C25" s="580"/>
      <c r="D25" s="108" t="s">
        <v>610</v>
      </c>
      <c r="E25">
        <v>145290287</v>
      </c>
      <c r="F25" s="75"/>
      <c r="G25" s="75"/>
      <c r="J25" s="472" t="s">
        <v>240</v>
      </c>
      <c r="K25" s="473">
        <v>60000000</v>
      </c>
      <c r="L25" s="473">
        <v>0</v>
      </c>
      <c r="M25" s="473">
        <f t="shared" si="0"/>
        <v>60000000</v>
      </c>
    </row>
    <row r="26" spans="1:13" ht="33.75" thickBot="1">
      <c r="A26" s="629"/>
      <c r="B26" s="616"/>
      <c r="C26" s="580"/>
      <c r="D26" s="345" t="s">
        <v>611</v>
      </c>
      <c r="E26">
        <v>160000000</v>
      </c>
      <c r="F26" s="361"/>
      <c r="G26" s="361"/>
      <c r="J26" s="472" t="s">
        <v>242</v>
      </c>
      <c r="K26" s="473">
        <v>30000000</v>
      </c>
      <c r="L26" s="473">
        <v>0</v>
      </c>
      <c r="M26" s="473">
        <f t="shared" si="0"/>
        <v>30000000</v>
      </c>
    </row>
    <row r="27" spans="10:13" ht="33.75" thickTop="1">
      <c r="J27" s="472" t="s">
        <v>244</v>
      </c>
      <c r="K27" s="473">
        <v>15000000</v>
      </c>
      <c r="L27" s="473">
        <v>0</v>
      </c>
      <c r="M27" s="473">
        <f t="shared" si="0"/>
        <v>15000000</v>
      </c>
    </row>
    <row r="28" spans="10:13" ht="33">
      <c r="J28" s="472" t="s">
        <v>246</v>
      </c>
      <c r="K28" s="473">
        <v>15000000</v>
      </c>
      <c r="L28" s="473">
        <v>0</v>
      </c>
      <c r="M28" s="473">
        <f t="shared" si="0"/>
        <v>15000000</v>
      </c>
    </row>
    <row r="29" spans="10:13" ht="33">
      <c r="J29" s="472" t="s">
        <v>248</v>
      </c>
      <c r="K29" s="473">
        <v>0</v>
      </c>
      <c r="L29" s="473">
        <v>0</v>
      </c>
      <c r="M29" s="473">
        <f t="shared" si="0"/>
        <v>0</v>
      </c>
    </row>
    <row r="30" spans="10:13" ht="15">
      <c r="J30" s="472" t="s">
        <v>250</v>
      </c>
      <c r="K30" s="473">
        <v>30000000</v>
      </c>
      <c r="L30" s="473">
        <v>3000000</v>
      </c>
      <c r="M30" s="473">
        <f t="shared" si="0"/>
        <v>27000000</v>
      </c>
    </row>
    <row r="31" spans="10:13" ht="15">
      <c r="J31" s="472" t="s">
        <v>252</v>
      </c>
      <c r="K31" s="473">
        <v>5000000</v>
      </c>
      <c r="L31" s="473">
        <v>3000000</v>
      </c>
      <c r="M31" s="473">
        <f t="shared" si="0"/>
        <v>2000000</v>
      </c>
    </row>
    <row r="32" spans="10:13" ht="15">
      <c r="J32" s="472" t="s">
        <v>254</v>
      </c>
      <c r="K32" s="473">
        <v>5000000</v>
      </c>
      <c r="L32" s="473">
        <v>0</v>
      </c>
      <c r="M32" s="473">
        <f t="shared" si="0"/>
        <v>5000000</v>
      </c>
    </row>
    <row r="33" spans="10:13" ht="15">
      <c r="J33" s="472" t="s">
        <v>256</v>
      </c>
      <c r="K33" s="473">
        <v>5000000</v>
      </c>
      <c r="L33" s="473">
        <v>0</v>
      </c>
      <c r="M33" s="473">
        <f t="shared" si="0"/>
        <v>5000000</v>
      </c>
    </row>
    <row r="34" spans="10:13" ht="15">
      <c r="J34" s="472" t="s">
        <v>258</v>
      </c>
      <c r="K34" s="473">
        <v>5000000</v>
      </c>
      <c r="L34" s="473">
        <v>0</v>
      </c>
      <c r="M34" s="473">
        <f t="shared" si="0"/>
        <v>5000000</v>
      </c>
    </row>
    <row r="35" spans="10:13" ht="15">
      <c r="J35" s="472" t="s">
        <v>260</v>
      </c>
      <c r="K35" s="473">
        <v>5000000</v>
      </c>
      <c r="L35" s="473">
        <v>0</v>
      </c>
      <c r="M35" s="473">
        <f t="shared" si="0"/>
        <v>5000000</v>
      </c>
    </row>
    <row r="36" spans="10:13" ht="15">
      <c r="J36" s="472" t="s">
        <v>262</v>
      </c>
      <c r="K36" s="473">
        <v>5000000</v>
      </c>
      <c r="L36" s="473">
        <v>0</v>
      </c>
      <c r="M36" s="473">
        <f t="shared" si="0"/>
        <v>5000000</v>
      </c>
    </row>
    <row r="37" spans="10:13" ht="15">
      <c r="J37" s="472" t="s">
        <v>264</v>
      </c>
      <c r="K37" s="473">
        <v>102850172</v>
      </c>
      <c r="L37" s="473">
        <v>29411154</v>
      </c>
      <c r="M37" s="473">
        <f t="shared" si="0"/>
        <v>73439018</v>
      </c>
    </row>
    <row r="38" spans="10:13" ht="15">
      <c r="J38" s="472" t="s">
        <v>745</v>
      </c>
      <c r="K38" s="473">
        <v>55000000</v>
      </c>
      <c r="L38" s="473">
        <v>26224352</v>
      </c>
      <c r="M38" s="473">
        <f t="shared" si="0"/>
        <v>28775648</v>
      </c>
    </row>
    <row r="39" spans="10:13" ht="15">
      <c r="J39" s="472" t="s">
        <v>746</v>
      </c>
      <c r="K39" s="473">
        <v>27850172</v>
      </c>
      <c r="L39" s="473">
        <v>1030102</v>
      </c>
      <c r="M39" s="473">
        <f t="shared" si="0"/>
        <v>26820070</v>
      </c>
    </row>
    <row r="40" spans="10:13" ht="15">
      <c r="J40" s="472" t="s">
        <v>747</v>
      </c>
      <c r="K40" s="473">
        <v>20000000</v>
      </c>
      <c r="L40" s="473">
        <v>2156700</v>
      </c>
      <c r="M40" s="473">
        <f t="shared" si="0"/>
        <v>17843300</v>
      </c>
    </row>
    <row r="41" spans="10:13" ht="15">
      <c r="J41" s="472" t="s">
        <v>268</v>
      </c>
      <c r="K41" s="473">
        <v>2000000</v>
      </c>
      <c r="L41" s="473">
        <v>856114</v>
      </c>
      <c r="M41" s="473">
        <f t="shared" si="0"/>
        <v>1143886</v>
      </c>
    </row>
    <row r="42" spans="10:13" ht="15">
      <c r="J42" s="472" t="s">
        <v>270</v>
      </c>
      <c r="K42" s="473">
        <v>2000000</v>
      </c>
      <c r="L42" s="473">
        <v>856114</v>
      </c>
      <c r="M42" s="473">
        <f t="shared" si="0"/>
        <v>1143886</v>
      </c>
    </row>
    <row r="43" spans="10:13" ht="15">
      <c r="J43" s="472" t="s">
        <v>180</v>
      </c>
      <c r="K43" s="473">
        <v>90000000</v>
      </c>
      <c r="L43" s="473">
        <v>13800000</v>
      </c>
      <c r="M43" s="473">
        <f t="shared" si="0"/>
        <v>76200000</v>
      </c>
    </row>
    <row r="44" spans="10:13" ht="22.5">
      <c r="J44" s="472" t="s">
        <v>273</v>
      </c>
      <c r="K44" s="473">
        <v>20000000</v>
      </c>
      <c r="L44" s="473">
        <v>0</v>
      </c>
      <c r="M44" s="473">
        <f t="shared" si="0"/>
        <v>20000000</v>
      </c>
    </row>
    <row r="45" spans="10:13" ht="22.5">
      <c r="J45" s="472" t="s">
        <v>275</v>
      </c>
      <c r="K45" s="473">
        <v>20000000</v>
      </c>
      <c r="L45" s="473">
        <v>0</v>
      </c>
      <c r="M45" s="473">
        <f t="shared" si="0"/>
        <v>20000000</v>
      </c>
    </row>
    <row r="46" spans="10:13" ht="15">
      <c r="J46" s="472" t="s">
        <v>277</v>
      </c>
      <c r="K46" s="473">
        <v>20000000</v>
      </c>
      <c r="L46" s="473">
        <v>0</v>
      </c>
      <c r="M46" s="473">
        <f t="shared" si="0"/>
        <v>20000000</v>
      </c>
    </row>
    <row r="47" spans="10:13" ht="22.5">
      <c r="J47" s="472" t="s">
        <v>279</v>
      </c>
      <c r="K47" s="473">
        <v>20000000</v>
      </c>
      <c r="L47" s="473">
        <v>0</v>
      </c>
      <c r="M47" s="473">
        <f t="shared" si="0"/>
        <v>20000000</v>
      </c>
    </row>
    <row r="48" spans="10:13" ht="15">
      <c r="J48" s="472" t="s">
        <v>281</v>
      </c>
      <c r="K48" s="473">
        <v>10000000</v>
      </c>
      <c r="L48" s="473">
        <v>8800000</v>
      </c>
      <c r="M48" s="473">
        <f t="shared" si="0"/>
        <v>1200000</v>
      </c>
    </row>
    <row r="49" spans="10:13" ht="22.5">
      <c r="J49" s="472" t="s">
        <v>283</v>
      </c>
      <c r="K49" s="473">
        <v>10000000</v>
      </c>
      <c r="L49" s="473">
        <v>8800000</v>
      </c>
      <c r="M49" s="473">
        <f t="shared" si="0"/>
        <v>1200000</v>
      </c>
    </row>
    <row r="50" spans="10:13" ht="22.5">
      <c r="J50" s="472" t="s">
        <v>285</v>
      </c>
      <c r="K50" s="473">
        <v>0</v>
      </c>
      <c r="L50" s="473">
        <v>0</v>
      </c>
      <c r="M50" s="473">
        <f t="shared" si="0"/>
        <v>0</v>
      </c>
    </row>
    <row r="51" spans="10:13" ht="33">
      <c r="J51" s="472" t="s">
        <v>287</v>
      </c>
      <c r="K51" s="473">
        <v>0</v>
      </c>
      <c r="L51" s="473">
        <v>0</v>
      </c>
      <c r="M51" s="473">
        <f t="shared" si="0"/>
        <v>0</v>
      </c>
    </row>
    <row r="52" spans="10:13" ht="33">
      <c r="J52" s="472" t="s">
        <v>289</v>
      </c>
      <c r="K52" s="473">
        <v>0</v>
      </c>
      <c r="L52" s="473">
        <v>0</v>
      </c>
      <c r="M52" s="473">
        <f t="shared" si="0"/>
        <v>0</v>
      </c>
    </row>
    <row r="53" spans="10:13" ht="22.5">
      <c r="J53" s="472" t="s">
        <v>232</v>
      </c>
      <c r="K53" s="473">
        <v>40000000</v>
      </c>
      <c r="L53" s="473">
        <v>5000000</v>
      </c>
      <c r="M53" s="473">
        <f t="shared" si="0"/>
        <v>35000000</v>
      </c>
    </row>
    <row r="54" spans="10:13" ht="33">
      <c r="J54" s="472" t="s">
        <v>234</v>
      </c>
      <c r="K54" s="473">
        <v>30000000</v>
      </c>
      <c r="L54" s="473">
        <v>0</v>
      </c>
      <c r="M54" s="473">
        <f t="shared" si="0"/>
        <v>30000000</v>
      </c>
    </row>
    <row r="55" spans="10:13" ht="33">
      <c r="J55" s="472" t="s">
        <v>236</v>
      </c>
      <c r="K55" s="473">
        <v>5000000</v>
      </c>
      <c r="L55" s="473">
        <v>0</v>
      </c>
      <c r="M55" s="473">
        <f t="shared" si="0"/>
        <v>5000000</v>
      </c>
    </row>
    <row r="56" spans="10:13" ht="33">
      <c r="J56" s="472" t="s">
        <v>238</v>
      </c>
      <c r="K56" s="473">
        <v>5000000</v>
      </c>
      <c r="L56" s="473">
        <v>5000000</v>
      </c>
      <c r="M56" s="473">
        <f t="shared" si="0"/>
        <v>0</v>
      </c>
    </row>
    <row r="57" spans="10:13" ht="22.5">
      <c r="J57" s="472" t="s">
        <v>748</v>
      </c>
      <c r="K57" s="473">
        <v>478352885</v>
      </c>
      <c r="L57" s="473">
        <v>0</v>
      </c>
      <c r="M57" s="473">
        <f t="shared" si="0"/>
        <v>478352885</v>
      </c>
    </row>
    <row r="58" spans="10:13" ht="15">
      <c r="J58" s="472" t="s">
        <v>228</v>
      </c>
      <c r="K58" s="473">
        <v>478352885</v>
      </c>
      <c r="L58" s="473">
        <v>0</v>
      </c>
      <c r="M58" s="473">
        <f t="shared" si="0"/>
        <v>478352885</v>
      </c>
    </row>
  </sheetData>
  <sheetProtection/>
  <mergeCells count="23">
    <mergeCell ref="C25:C26"/>
    <mergeCell ref="B17:B19"/>
    <mergeCell ref="C17:D17"/>
    <mergeCell ref="C8:D8"/>
    <mergeCell ref="C15:C16"/>
    <mergeCell ref="D15:D16"/>
    <mergeCell ref="C22:C23"/>
    <mergeCell ref="C9:C13"/>
    <mergeCell ref="B24:B26"/>
    <mergeCell ref="C24:D24"/>
    <mergeCell ref="B20:B23"/>
    <mergeCell ref="B14:B16"/>
    <mergeCell ref="C14:D14"/>
    <mergeCell ref="A1:G1"/>
    <mergeCell ref="A2:G2"/>
    <mergeCell ref="A3:G3"/>
    <mergeCell ref="A4:G4"/>
    <mergeCell ref="C20:D20"/>
    <mergeCell ref="C18:C19"/>
    <mergeCell ref="D18:D19"/>
    <mergeCell ref="A6:A26"/>
    <mergeCell ref="B6:D6"/>
    <mergeCell ref="B8:B1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G39" sqref="G39"/>
    </sheetView>
  </sheetViews>
  <sheetFormatPr defaultColWidth="11.421875" defaultRowHeight="15"/>
  <cols>
    <col min="1" max="1" width="13.28125" style="0" customWidth="1"/>
    <col min="2" max="3" width="15.57421875" style="0" customWidth="1"/>
    <col min="4" max="4" width="35.8515625" style="0" customWidth="1"/>
    <col min="5" max="5" width="16.8515625" style="6" customWidth="1"/>
    <col min="6" max="6" width="15.7109375" style="0" customWidth="1"/>
    <col min="7" max="7" width="18.7109375" style="0" customWidth="1"/>
    <col min="8" max="8" width="13.57421875" style="0" customWidth="1"/>
    <col min="11" max="11" width="16.8515625" style="0" customWidth="1"/>
    <col min="12" max="12" width="15.140625" style="0" bestFit="1" customWidth="1"/>
  </cols>
  <sheetData>
    <row r="1" spans="2:8" ht="15.75">
      <c r="B1" s="647" t="s">
        <v>1</v>
      </c>
      <c r="C1" s="647"/>
      <c r="D1" s="647"/>
      <c r="E1" s="647"/>
      <c r="F1" s="647"/>
      <c r="G1" s="647"/>
      <c r="H1" s="647"/>
    </row>
    <row r="2" spans="2:8" ht="15.75">
      <c r="B2" s="647" t="s">
        <v>723</v>
      </c>
      <c r="C2" s="647"/>
      <c r="D2" s="647"/>
      <c r="E2" s="647"/>
      <c r="F2" s="647"/>
      <c r="G2" s="647"/>
      <c r="H2" s="647"/>
    </row>
    <row r="3" spans="2:8" ht="15.75" customHeight="1">
      <c r="B3" s="648" t="s">
        <v>739</v>
      </c>
      <c r="C3" s="648"/>
      <c r="D3" s="648"/>
      <c r="E3" s="648"/>
      <c r="F3" s="648"/>
      <c r="G3" s="648"/>
      <c r="H3" s="648"/>
    </row>
    <row r="4" spans="2:8" ht="15" customHeight="1">
      <c r="B4" s="659" t="s">
        <v>740</v>
      </c>
      <c r="C4" s="659"/>
      <c r="D4" s="659"/>
      <c r="E4" s="659"/>
      <c r="F4" s="659"/>
      <c r="G4" s="659"/>
      <c r="H4" s="659"/>
    </row>
    <row r="5" ht="15.75" thickBot="1">
      <c r="L5">
        <v>149901650</v>
      </c>
    </row>
    <row r="6" spans="1:8" ht="60.75" thickTop="1">
      <c r="A6" s="508" t="s">
        <v>526</v>
      </c>
      <c r="B6" s="509" t="s">
        <v>527</v>
      </c>
      <c r="C6" s="509" t="s">
        <v>64</v>
      </c>
      <c r="D6" s="509" t="s">
        <v>765</v>
      </c>
      <c r="E6" s="448" t="s">
        <v>725</v>
      </c>
      <c r="F6" s="448" t="s">
        <v>727</v>
      </c>
      <c r="G6" s="448" t="s">
        <v>726</v>
      </c>
      <c r="H6" s="449" t="s">
        <v>736</v>
      </c>
    </row>
    <row r="7" spans="1:8" ht="15" customHeight="1">
      <c r="A7" s="668" t="s">
        <v>506</v>
      </c>
      <c r="B7" s="662" t="s">
        <v>533</v>
      </c>
      <c r="C7" s="662"/>
      <c r="D7" s="662"/>
      <c r="E7" s="500">
        <f>+E8+E32+E36</f>
        <v>1455693459</v>
      </c>
      <c r="F7" s="500">
        <f>+F8+F32+F36</f>
        <v>149901650</v>
      </c>
      <c r="G7" s="500">
        <f>+G8+G32+G36</f>
        <v>594347524</v>
      </c>
      <c r="H7" s="501">
        <f>+(G7+F7)/E7</f>
        <v>0.5112677874579912</v>
      </c>
    </row>
    <row r="8" spans="1:8" ht="15" customHeight="1">
      <c r="A8" s="668"/>
      <c r="B8" s="663" t="s">
        <v>523</v>
      </c>
      <c r="C8" s="663" t="s">
        <v>665</v>
      </c>
      <c r="D8" s="663"/>
      <c r="E8" s="502">
        <f>+E9</f>
        <v>360800000</v>
      </c>
      <c r="F8" s="502">
        <f>+F9</f>
        <v>149901650</v>
      </c>
      <c r="G8" s="502">
        <f>+G9</f>
        <v>107400000</v>
      </c>
      <c r="H8" s="503">
        <f>+(G8+F8)/E8</f>
        <v>0.7131420454545454</v>
      </c>
    </row>
    <row r="9" spans="1:8" ht="195" customHeight="1">
      <c r="A9" s="668"/>
      <c r="B9" s="663"/>
      <c r="C9" s="664" t="s">
        <v>614</v>
      </c>
      <c r="D9" s="490" t="s">
        <v>613</v>
      </c>
      <c r="E9" s="496">
        <v>360800000</v>
      </c>
      <c r="F9" s="496">
        <f>SUM(F10:F26)</f>
        <v>149901650</v>
      </c>
      <c r="G9" s="496">
        <f>SUM(G10:G26)</f>
        <v>107400000</v>
      </c>
      <c r="H9" s="497">
        <f>(+G9+F9)/E9</f>
        <v>0.7131420454545454</v>
      </c>
    </row>
    <row r="10" spans="1:8" ht="49.5" customHeight="1">
      <c r="A10" s="668"/>
      <c r="B10" s="663"/>
      <c r="C10" s="664"/>
      <c r="D10" s="515" t="s">
        <v>750</v>
      </c>
      <c r="E10" s="423"/>
      <c r="F10" s="518">
        <v>9985800</v>
      </c>
      <c r="G10" s="510"/>
      <c r="H10" s="471"/>
    </row>
    <row r="11" spans="1:12" ht="28.5" customHeight="1">
      <c r="A11" s="668"/>
      <c r="B11" s="663"/>
      <c r="C11" s="664"/>
      <c r="D11" s="515" t="s">
        <v>751</v>
      </c>
      <c r="E11" s="423"/>
      <c r="F11" s="518">
        <v>6900000</v>
      </c>
      <c r="G11" s="520"/>
      <c r="H11" s="421"/>
      <c r="L11" s="12"/>
    </row>
    <row r="12" spans="1:12" ht="28.5" customHeight="1">
      <c r="A12" s="668"/>
      <c r="B12" s="663"/>
      <c r="C12" s="664"/>
      <c r="D12" s="515" t="s">
        <v>752</v>
      </c>
      <c r="E12" s="423"/>
      <c r="F12" s="518">
        <v>2996000</v>
      </c>
      <c r="G12" s="520">
        <v>80000000</v>
      </c>
      <c r="H12" s="421"/>
      <c r="L12" s="12"/>
    </row>
    <row r="13" spans="1:12" ht="28.5" customHeight="1">
      <c r="A13" s="668"/>
      <c r="B13" s="663"/>
      <c r="C13" s="664"/>
      <c r="D13" s="515" t="s">
        <v>753</v>
      </c>
      <c r="E13" s="423"/>
      <c r="F13" s="518">
        <v>4057900</v>
      </c>
      <c r="G13" s="520">
        <v>4800000</v>
      </c>
      <c r="H13" s="421"/>
      <c r="L13" s="489"/>
    </row>
    <row r="14" spans="1:12" ht="28.5" customHeight="1">
      <c r="A14" s="668"/>
      <c r="B14" s="663"/>
      <c r="C14" s="664"/>
      <c r="D14" s="515" t="s">
        <v>754</v>
      </c>
      <c r="E14" s="423"/>
      <c r="F14" s="518">
        <v>6647000</v>
      </c>
      <c r="G14" s="520"/>
      <c r="H14" s="421"/>
      <c r="L14" s="12"/>
    </row>
    <row r="15" spans="1:8" ht="28.5" customHeight="1">
      <c r="A15" s="668"/>
      <c r="B15" s="663"/>
      <c r="C15" s="664"/>
      <c r="D15" s="515" t="s">
        <v>755</v>
      </c>
      <c r="E15" s="423"/>
      <c r="F15" s="518">
        <v>3068000</v>
      </c>
      <c r="G15" s="520"/>
      <c r="H15" s="421"/>
    </row>
    <row r="16" spans="1:8" ht="28.5" customHeight="1">
      <c r="A16" s="668"/>
      <c r="B16" s="663"/>
      <c r="C16" s="664"/>
      <c r="D16" s="515" t="s">
        <v>756</v>
      </c>
      <c r="E16" s="423"/>
      <c r="F16" s="518">
        <v>2047000</v>
      </c>
      <c r="G16" s="520"/>
      <c r="H16" s="421"/>
    </row>
    <row r="17" spans="1:8" ht="28.5" customHeight="1">
      <c r="A17" s="668"/>
      <c r="B17" s="663"/>
      <c r="C17" s="664"/>
      <c r="D17" s="515" t="s">
        <v>757</v>
      </c>
      <c r="E17" s="423"/>
      <c r="F17" s="518">
        <v>5750000</v>
      </c>
      <c r="G17" s="520"/>
      <c r="H17" s="421"/>
    </row>
    <row r="18" spans="1:8" ht="28.5" customHeight="1">
      <c r="A18" s="668"/>
      <c r="B18" s="663"/>
      <c r="C18" s="664"/>
      <c r="D18" s="515" t="s">
        <v>758</v>
      </c>
      <c r="E18" s="423"/>
      <c r="F18" s="518">
        <v>8587800</v>
      </c>
      <c r="G18" s="520"/>
      <c r="H18" s="421"/>
    </row>
    <row r="19" spans="1:8" ht="28.5" customHeight="1">
      <c r="A19" s="668"/>
      <c r="B19" s="663"/>
      <c r="C19" s="664"/>
      <c r="D19" s="515" t="s">
        <v>759</v>
      </c>
      <c r="E19" s="423"/>
      <c r="F19" s="518">
        <v>1200000</v>
      </c>
      <c r="G19" s="520"/>
      <c r="H19" s="421"/>
    </row>
    <row r="20" spans="1:8" ht="28.5" customHeight="1">
      <c r="A20" s="668"/>
      <c r="B20" s="663"/>
      <c r="C20" s="664"/>
      <c r="D20" s="515" t="s">
        <v>760</v>
      </c>
      <c r="E20" s="423"/>
      <c r="F20" s="518">
        <v>3863000</v>
      </c>
      <c r="G20" s="520"/>
      <c r="H20" s="421"/>
    </row>
    <row r="21" spans="1:8" ht="28.5" customHeight="1">
      <c r="A21" s="668"/>
      <c r="B21" s="663"/>
      <c r="C21" s="664"/>
      <c r="D21" s="515" t="s">
        <v>761</v>
      </c>
      <c r="E21" s="423"/>
      <c r="F21" s="518">
        <v>8208000</v>
      </c>
      <c r="G21" s="520">
        <v>22600000</v>
      </c>
      <c r="H21" s="421"/>
    </row>
    <row r="22" spans="1:14" ht="28.5" customHeight="1">
      <c r="A22" s="668"/>
      <c r="B22" s="663"/>
      <c r="C22" s="664"/>
      <c r="D22" s="515" t="s">
        <v>762</v>
      </c>
      <c r="E22" s="423"/>
      <c r="F22" s="518">
        <v>9239000</v>
      </c>
      <c r="G22" s="520"/>
      <c r="H22" s="421"/>
      <c r="N22" s="422"/>
    </row>
    <row r="23" spans="1:8" ht="28.5" customHeight="1">
      <c r="A23" s="668"/>
      <c r="B23" s="663"/>
      <c r="C23" s="664"/>
      <c r="D23" s="515" t="s">
        <v>763</v>
      </c>
      <c r="E23" s="423"/>
      <c r="F23" s="518">
        <v>5989700</v>
      </c>
      <c r="G23" s="520"/>
      <c r="H23" s="421"/>
    </row>
    <row r="24" spans="1:8" ht="28.5" customHeight="1">
      <c r="A24" s="668"/>
      <c r="B24" s="663"/>
      <c r="C24" s="664"/>
      <c r="D24" s="515" t="s">
        <v>763</v>
      </c>
      <c r="E24" s="423"/>
      <c r="F24" s="518">
        <v>8330450</v>
      </c>
      <c r="G24" s="423"/>
      <c r="H24" s="421"/>
    </row>
    <row r="25" spans="1:8" ht="28.5" customHeight="1">
      <c r="A25" s="668"/>
      <c r="B25" s="663"/>
      <c r="C25" s="664"/>
      <c r="D25" s="515" t="s">
        <v>764</v>
      </c>
      <c r="E25" s="423"/>
      <c r="F25" s="519">
        <v>15632000</v>
      </c>
      <c r="G25" s="423"/>
      <c r="H25" s="421"/>
    </row>
    <row r="26" spans="1:8" ht="51" customHeight="1">
      <c r="A26" s="668"/>
      <c r="B26" s="663"/>
      <c r="C26" s="664"/>
      <c r="D26" s="511" t="s">
        <v>770</v>
      </c>
      <c r="E26" s="423"/>
      <c r="F26" s="521">
        <f>56200000-8800000</f>
        <v>47400000</v>
      </c>
      <c r="G26" s="423"/>
      <c r="H26" s="421"/>
    </row>
    <row r="27" spans="1:8" ht="51" customHeight="1">
      <c r="A27" s="668"/>
      <c r="B27" s="663"/>
      <c r="C27" s="664"/>
      <c r="D27" s="490" t="s">
        <v>769</v>
      </c>
      <c r="E27" s="496">
        <v>45000000</v>
      </c>
      <c r="F27" s="496">
        <f>SUM(F28:F29)</f>
        <v>0</v>
      </c>
      <c r="G27" s="496"/>
      <c r="H27" s="517">
        <f>+(G27+F27)/E27</f>
        <v>0</v>
      </c>
    </row>
    <row r="28" spans="1:8" ht="47.25" customHeight="1">
      <c r="A28" s="668"/>
      <c r="B28" s="663"/>
      <c r="C28" s="664"/>
      <c r="D28" s="492" t="s">
        <v>766</v>
      </c>
      <c r="E28" s="493"/>
      <c r="F28" s="493">
        <v>0</v>
      </c>
      <c r="G28" s="493"/>
      <c r="H28" s="494"/>
    </row>
    <row r="29" spans="1:8" ht="65.25" customHeight="1">
      <c r="A29" s="668"/>
      <c r="B29" s="663"/>
      <c r="C29" s="664"/>
      <c r="D29" s="516" t="s">
        <v>767</v>
      </c>
      <c r="E29" s="493"/>
      <c r="F29" s="493">
        <v>0</v>
      </c>
      <c r="G29" s="493"/>
      <c r="H29" s="494"/>
    </row>
    <row r="30" spans="1:8" ht="30.75" customHeight="1">
      <c r="A30" s="668"/>
      <c r="B30" s="663"/>
      <c r="C30" s="664"/>
      <c r="D30" s="490" t="s">
        <v>616</v>
      </c>
      <c r="E30" s="491">
        <f>+E31</f>
        <v>300000000</v>
      </c>
      <c r="F30" s="491">
        <f>+F31</f>
        <v>0</v>
      </c>
      <c r="G30" s="491"/>
      <c r="H30" s="495"/>
    </row>
    <row r="31" spans="1:8" ht="24.75" customHeight="1">
      <c r="A31" s="668"/>
      <c r="B31" s="663"/>
      <c r="C31" s="664"/>
      <c r="D31" s="487" t="s">
        <v>768</v>
      </c>
      <c r="E31" s="423">
        <v>300000000</v>
      </c>
      <c r="F31" s="423">
        <v>0</v>
      </c>
      <c r="G31" s="423"/>
      <c r="H31" s="421"/>
    </row>
    <row r="32" spans="1:8" ht="29.25" customHeight="1">
      <c r="A32" s="668"/>
      <c r="B32" s="665" t="s">
        <v>524</v>
      </c>
      <c r="C32" s="665" t="s">
        <v>665</v>
      </c>
      <c r="D32" s="665"/>
      <c r="E32" s="504">
        <f>+E33</f>
        <v>20000000</v>
      </c>
      <c r="F32" s="504">
        <v>0</v>
      </c>
      <c r="G32" s="504"/>
      <c r="H32" s="505">
        <f>+(G32+F32)/E32</f>
        <v>0</v>
      </c>
    </row>
    <row r="33" spans="1:8" ht="29.25" customHeight="1">
      <c r="A33" s="668"/>
      <c r="B33" s="665"/>
      <c r="C33" s="664" t="s">
        <v>617</v>
      </c>
      <c r="D33" s="487" t="s">
        <v>618</v>
      </c>
      <c r="E33" s="423">
        <v>20000000</v>
      </c>
      <c r="F33" s="423"/>
      <c r="G33" s="423"/>
      <c r="H33" s="471"/>
    </row>
    <row r="34" spans="1:8" ht="29.25" customHeight="1">
      <c r="A34" s="668"/>
      <c r="B34" s="665"/>
      <c r="C34" s="664"/>
      <c r="D34" s="487" t="s">
        <v>619</v>
      </c>
      <c r="E34" s="423"/>
      <c r="F34" s="423"/>
      <c r="G34" s="423"/>
      <c r="H34" s="421"/>
    </row>
    <row r="35" spans="1:8" ht="29.25" customHeight="1">
      <c r="A35" s="668"/>
      <c r="B35" s="665"/>
      <c r="C35" s="664"/>
      <c r="D35" s="487"/>
      <c r="E35" s="423"/>
      <c r="F35" s="423"/>
      <c r="G35" s="423"/>
      <c r="H35" s="421"/>
    </row>
    <row r="36" spans="1:12" ht="28.5" customHeight="1">
      <c r="A36" s="668"/>
      <c r="B36" s="666" t="s">
        <v>525</v>
      </c>
      <c r="C36" s="666" t="s">
        <v>665</v>
      </c>
      <c r="D36" s="666"/>
      <c r="E36" s="506">
        <f>+E37+E38+E42+E43</f>
        <v>1074893459</v>
      </c>
      <c r="F36" s="506">
        <v>0</v>
      </c>
      <c r="G36" s="506">
        <f>+G37+G38+G42+G43</f>
        <v>486947524</v>
      </c>
      <c r="H36" s="507">
        <f>+(G36+F36)/E36</f>
        <v>0.45301933872871397</v>
      </c>
      <c r="L36" s="522"/>
    </row>
    <row r="37" spans="1:10" ht="135" customHeight="1">
      <c r="A37" s="668"/>
      <c r="B37" s="666"/>
      <c r="C37" s="664" t="s">
        <v>628</v>
      </c>
      <c r="D37" s="487" t="s">
        <v>621</v>
      </c>
      <c r="E37" s="498"/>
      <c r="F37" s="423"/>
      <c r="G37" s="423"/>
      <c r="H37" s="471"/>
      <c r="J37" s="499"/>
    </row>
    <row r="38" spans="1:11" ht="30">
      <c r="A38" s="668"/>
      <c r="B38" s="666"/>
      <c r="C38" s="664"/>
      <c r="D38" s="487" t="s">
        <v>738</v>
      </c>
      <c r="E38" s="498">
        <v>1074893459</v>
      </c>
      <c r="F38" s="423"/>
      <c r="G38" s="423">
        <f>J39+G39+G40+G41</f>
        <v>486947524</v>
      </c>
      <c r="H38" s="667"/>
      <c r="K38" s="14"/>
    </row>
    <row r="39" spans="1:8" ht="30">
      <c r="A39" s="668"/>
      <c r="B39" s="666"/>
      <c r="C39" s="664"/>
      <c r="D39" s="512" t="s">
        <v>49</v>
      </c>
      <c r="E39" s="498"/>
      <c r="F39" s="423"/>
      <c r="G39" s="513">
        <v>180000000</v>
      </c>
      <c r="H39" s="667"/>
    </row>
    <row r="40" spans="1:8" ht="30">
      <c r="A40" s="668"/>
      <c r="B40" s="666"/>
      <c r="C40" s="664"/>
      <c r="D40" s="512" t="s">
        <v>50</v>
      </c>
      <c r="E40" s="498"/>
      <c r="F40" s="423"/>
      <c r="G40" s="513">
        <v>268472524</v>
      </c>
      <c r="H40" s="667"/>
    </row>
    <row r="41" spans="1:8" ht="30">
      <c r="A41" s="668"/>
      <c r="B41" s="666"/>
      <c r="C41" s="664"/>
      <c r="D41" s="512" t="s">
        <v>737</v>
      </c>
      <c r="E41" s="498"/>
      <c r="F41" s="423"/>
      <c r="G41" s="513">
        <v>38475000</v>
      </c>
      <c r="H41" s="667"/>
    </row>
    <row r="42" spans="1:8" ht="45">
      <c r="A42" s="668"/>
      <c r="B42" s="666"/>
      <c r="C42" s="664"/>
      <c r="D42" s="487" t="s">
        <v>623</v>
      </c>
      <c r="E42" s="498"/>
      <c r="F42" s="423"/>
      <c r="G42" s="423"/>
      <c r="H42" s="667"/>
    </row>
    <row r="43" spans="1:8" ht="15.75" thickBot="1">
      <c r="A43" s="669"/>
      <c r="B43" s="671"/>
      <c r="C43" s="670"/>
      <c r="D43" s="488" t="s">
        <v>624</v>
      </c>
      <c r="E43" s="514"/>
      <c r="F43" s="426"/>
      <c r="G43" s="426"/>
      <c r="H43" s="427"/>
    </row>
    <row r="44" ht="15.75" thickTop="1"/>
    <row r="47" ht="15" customHeight="1"/>
  </sheetData>
  <sheetProtection/>
  <mergeCells count="16">
    <mergeCell ref="H38:H42"/>
    <mergeCell ref="A7:A43"/>
    <mergeCell ref="B1:H1"/>
    <mergeCell ref="B2:H2"/>
    <mergeCell ref="B8:B31"/>
    <mergeCell ref="C37:C43"/>
    <mergeCell ref="B32:B35"/>
    <mergeCell ref="B36:B43"/>
    <mergeCell ref="B3:H3"/>
    <mergeCell ref="B4:H4"/>
    <mergeCell ref="B7:D7"/>
    <mergeCell ref="C8:D8"/>
    <mergeCell ref="C9:C31"/>
    <mergeCell ref="C32:D32"/>
    <mergeCell ref="C33:C35"/>
    <mergeCell ref="C36:D3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</dc:creator>
  <cp:keywords/>
  <dc:description/>
  <cp:lastModifiedBy>Luffi</cp:lastModifiedBy>
  <cp:lastPrinted>2012-12-13T15:50:37Z</cp:lastPrinted>
  <dcterms:created xsi:type="dcterms:W3CDTF">2012-04-25T03:00:04Z</dcterms:created>
  <dcterms:modified xsi:type="dcterms:W3CDTF">2013-02-26T16:53:35Z</dcterms:modified>
  <cp:category/>
  <cp:version/>
  <cp:contentType/>
  <cp:contentStatus/>
</cp:coreProperties>
</file>