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firstSheet="2" activeTab="7"/>
  </bookViews>
  <sheets>
    <sheet name="PROYECC.INGRESOS" sheetId="1" r:id="rId1"/>
    <sheet name="PROYEC.GASTOS" sheetId="2" r:id="rId2"/>
    <sheet name="ORGANOS DE CONTROL" sheetId="3" r:id="rId3"/>
    <sheet name="CONTROL DEL GASTO" sheetId="4" r:id="rId4"/>
    <sheet name="MATRIZ USOS" sheetId="5" r:id="rId5"/>
    <sheet name="MATRIZ FUENTES" sheetId="6" r:id="rId6"/>
    <sheet name="SUPERAVIT PRIMARIO" sheetId="7" r:id="rId7"/>
    <sheet name="PLAN FINANCIERO2012" sheetId="8" r:id="rId8"/>
    <sheet name="GRAFICOS MFMP 2013" sheetId="9" r:id="rId9"/>
    <sheet name="Hoja1" sheetId="10" r:id="rId10"/>
  </sheets>
  <externalReferences>
    <externalReference r:id="rId13"/>
  </externalReferences>
  <definedNames>
    <definedName name="_xlnm.Print_Area" localSheetId="4">'MATRIZ USOS'!$A$1:$G$78</definedName>
    <definedName name="_xlnm.Print_Area" localSheetId="7">'PLAN FINANCIERO2012'!$A$1:$E$139</definedName>
    <definedName name="_xlnm.Print_Area" localSheetId="0">'PROYECC.INGRESOS'!$A$1:$L$90</definedName>
    <definedName name="_xlnm.Print_Area" localSheetId="6">'SUPERAVIT PRIMARIO'!$A$1:$N$394</definedName>
    <definedName name="_xlnm.Print_Titles" localSheetId="4">'MATRIZ USOS'!$1:$6</definedName>
    <definedName name="_xlnm.Print_Titles" localSheetId="7">'PLAN FINANCIERO2012'!$1:$6</definedName>
    <definedName name="_xlnm.Print_Titles" localSheetId="0">'PROYECC.INGRESOS'!$A:$B,'PROYECC.INGRESOS'!$1:$3</definedName>
  </definedNames>
  <calcPr fullCalcOnLoad="1"/>
</workbook>
</file>

<file path=xl/sharedStrings.xml><?xml version="1.0" encoding="utf-8"?>
<sst xmlns="http://schemas.openxmlformats.org/spreadsheetml/2006/main" count="1665" uniqueCount="845">
  <si>
    <t>Los gastos de la Personería Municipal se liquidan  en 150 salarios mínimos legales vigentes proyectados para el 2.012, recomendándose su ajuste una vez se conozca el valor definitivo del salario  mínimo.</t>
  </si>
  <si>
    <t>OBLIGACIONES</t>
  </si>
  <si>
    <t>PROYECCION DE RENTAS</t>
  </si>
  <si>
    <t>PROYECCION DE GASTOS DE FUNCIONAMIENTO E INVERSION</t>
  </si>
  <si>
    <t>TI.A.1.4</t>
  </si>
  <si>
    <t>TI.A.1.4.1</t>
  </si>
  <si>
    <t>TI.A.1.5</t>
  </si>
  <si>
    <t>TI.A.1.5.1</t>
  </si>
  <si>
    <t>TI.A.1.5.2</t>
  </si>
  <si>
    <t>TI.A.1.6</t>
  </si>
  <si>
    <t>TI.A.1.6.1</t>
  </si>
  <si>
    <t>TI.A.1.6.2</t>
  </si>
  <si>
    <t>TI.A.1.23</t>
  </si>
  <si>
    <t>TI.A.1.25</t>
  </si>
  <si>
    <t>TI.A.1.26</t>
  </si>
  <si>
    <t>TI.A.1.28</t>
  </si>
  <si>
    <t>TI.A.1.28.1</t>
  </si>
  <si>
    <t>TI.A.1.29</t>
  </si>
  <si>
    <t>TI.A.1.30</t>
  </si>
  <si>
    <t>TI.A.2</t>
  </si>
  <si>
    <t>TI.A.2.1</t>
  </si>
  <si>
    <t>TI.A.2.1.6</t>
  </si>
  <si>
    <t>TI.A.2.1.6.1</t>
  </si>
  <si>
    <t>TI.A.2.1.7</t>
  </si>
  <si>
    <t>TI.A.2.1.9</t>
  </si>
  <si>
    <t>TI.A.2.2</t>
  </si>
  <si>
    <t>TI.A.2.2.1</t>
  </si>
  <si>
    <t>TI.A.2.2.4</t>
  </si>
  <si>
    <t>TI.A.2.2.4.1</t>
  </si>
  <si>
    <t>TI.A.2.2.5</t>
  </si>
  <si>
    <t>TI.A.2.2.5.1</t>
  </si>
  <si>
    <t>TI.A.2.2.5.3</t>
  </si>
  <si>
    <t>TI.A.2.4</t>
  </si>
  <si>
    <t>TI.A.2.4.4</t>
  </si>
  <si>
    <t>TI.A.2.6</t>
  </si>
  <si>
    <t>TI.A.2.6.1</t>
  </si>
  <si>
    <t>TI.A.2.6.1.1</t>
  </si>
  <si>
    <t>TI.A.2.6.1.1.1</t>
  </si>
  <si>
    <t>TI.A.2.6.1.1.2</t>
  </si>
  <si>
    <t>TI.A.2.6.1.2</t>
  </si>
  <si>
    <t>TI.A.2.6.1.2.1</t>
  </si>
  <si>
    <t>TI.A.2.6.1.2.2</t>
  </si>
  <si>
    <t>TI.A.2.6.1.2.5</t>
  </si>
  <si>
    <t>RECUPERACIÓN DE CARTERA (CEDELCA)</t>
  </si>
  <si>
    <t>A</t>
  </si>
  <si>
    <t>A.1</t>
  </si>
  <si>
    <t>A.1.4</t>
  </si>
  <si>
    <t>A.1.4.1</t>
  </si>
  <si>
    <t>A.1.4.2</t>
  </si>
  <si>
    <t>A.1.4.3</t>
  </si>
  <si>
    <t>A.1.4.4</t>
  </si>
  <si>
    <t>A.1.4.5</t>
  </si>
  <si>
    <t>A.1.4.6</t>
  </si>
  <si>
    <t>A.1.6</t>
  </si>
  <si>
    <t>A.2</t>
  </si>
  <si>
    <t>A.2.2</t>
  </si>
  <si>
    <t>A.2.2.4</t>
  </si>
  <si>
    <t>A.2.6</t>
  </si>
  <si>
    <t>A.3</t>
  </si>
  <si>
    <t>A.3.1</t>
  </si>
  <si>
    <t>A.3.1.1</t>
  </si>
  <si>
    <t>A.3.1.2</t>
  </si>
  <si>
    <t>A.3.1.4</t>
  </si>
  <si>
    <t>A.3.1.5</t>
  </si>
  <si>
    <t>A.3.1.6</t>
  </si>
  <si>
    <t>A.3.1.7</t>
  </si>
  <si>
    <t>A.3.2</t>
  </si>
  <si>
    <t>A.3.2.1</t>
  </si>
  <si>
    <t>A.3.2.2</t>
  </si>
  <si>
    <t>A.3.2.5</t>
  </si>
  <si>
    <t>A.3.3</t>
  </si>
  <si>
    <t>A.3.3.1</t>
  </si>
  <si>
    <t>A.3.3.5</t>
  </si>
  <si>
    <t>A.3.4</t>
  </si>
  <si>
    <t>A.3.6</t>
  </si>
  <si>
    <t>A.4</t>
  </si>
  <si>
    <t>A.4.1</t>
  </si>
  <si>
    <t>A.4.2</t>
  </si>
  <si>
    <t>A.4.3</t>
  </si>
  <si>
    <t>A.4.5</t>
  </si>
  <si>
    <t>A.4.7</t>
  </si>
  <si>
    <t>A.5</t>
  </si>
  <si>
    <t>A.5.1</t>
  </si>
  <si>
    <t>A.5.5</t>
  </si>
  <si>
    <t>A.5.8</t>
  </si>
  <si>
    <t>A.5.9</t>
  </si>
  <si>
    <t>A.5.11</t>
  </si>
  <si>
    <t>A.7</t>
  </si>
  <si>
    <t>A.7.3</t>
  </si>
  <si>
    <t>A.7.10</t>
  </si>
  <si>
    <t>A.1.4.11</t>
  </si>
  <si>
    <t>MATRICULA OFICIAL</t>
  </si>
  <si>
    <t>TRANSFERENCIA PLAN DEPARTAMENTAL DE AGUAS S.S.F</t>
  </si>
  <si>
    <t>A.3.1.13</t>
  </si>
  <si>
    <t>APOYO A PROYECTOS SOCIALES</t>
  </si>
  <si>
    <t>PROGRAMAS DE CAPACITACION Y ASISTENCIA TECNICA ORIENTADOS AL DESARROLLO EFICIENTE DE LA COMPETENCIA</t>
  </si>
  <si>
    <t>ICLD</t>
  </si>
  <si>
    <t>CULTURA SGP</t>
  </si>
  <si>
    <t>DEPORTE Y RECREACIÓN SGP</t>
  </si>
  <si>
    <t>SALUD SGP</t>
  </si>
  <si>
    <t>EDUCACIÓN SGP</t>
  </si>
  <si>
    <t>INVERSION CON RENTAS DE DESTINACION ESPECIFICA</t>
  </si>
  <si>
    <t>INVERSION CON ESTAMPILLAS</t>
  </si>
  <si>
    <t>INVERSION CON RECURSOS ETESA</t>
  </si>
  <si>
    <t>INVERSION CON RENTAS DEL IMPUESTO DE ALUMBRADO PUBLICO</t>
  </si>
  <si>
    <t>INVERSION CON RENTAS CEDIDAS DEL DEPARTAMENTO</t>
  </si>
  <si>
    <t>FONDO DE SEGURIDAD CIUDADANA</t>
  </si>
  <si>
    <t>INVERSION CON RECURSOS DE CONTRIBUCION VIAL</t>
  </si>
  <si>
    <t>INVERSION CON RECURSOS DE COFINANCIACION</t>
  </si>
  <si>
    <t>INVERSION CON RECURSOS DE CAPITAL</t>
  </si>
  <si>
    <t>ALCALDIA</t>
  </si>
  <si>
    <t>CONTRIBUCIONES INHERENTES A LA NOMINA</t>
  </si>
  <si>
    <t>PROGRAMAS DE CAPACITACION Y ASISTENCIA TECNICA ORIENTADOS AL DESARROLLO EFICIENTE DE LAS COMPETENCIA</t>
  </si>
  <si>
    <t>GASTOS GENERALES</t>
  </si>
  <si>
    <t>IMPUESTOS Y MULTAS</t>
  </si>
  <si>
    <t>HONORARIOS</t>
  </si>
  <si>
    <t xml:space="preserve">TOTAL GASTOS DE FUNCIONAMIENTO </t>
  </si>
  <si>
    <t xml:space="preserve">GASTOS DE PERSONAL </t>
  </si>
  <si>
    <t>SERVICIOS PERSONALES ASOCIADOS A LA NOMINA</t>
  </si>
  <si>
    <t>SUELDOS DE PERSONAL DE NOMINA</t>
  </si>
  <si>
    <t>PRIMAS LEGALES</t>
  </si>
  <si>
    <t>INDEMNIZACIÓN POR VACACIONES</t>
  </si>
  <si>
    <t>BONIFICACIÓN DE DIRECCIÓN</t>
  </si>
  <si>
    <t>AUXILIO DE TRANSPORTE</t>
  </si>
  <si>
    <t>DOTACIÓN DE PERSONAL</t>
  </si>
  <si>
    <t>PAGOS DIRECTOS DE CESANTÍAS PARCIALES Y/O DEFINITIVAS</t>
  </si>
  <si>
    <t>OTROS GASTOS DE PERSONAL ASOCIADOS A LA NÓMINA</t>
  </si>
  <si>
    <t xml:space="preserve">SERVICIOS PERSONALES INDIRECTOS  </t>
  </si>
  <si>
    <t>APORTES DE PREVISIÓN SOCIAL</t>
  </si>
  <si>
    <t>APORTES PARA SALUD</t>
  </si>
  <si>
    <t>APORTES PARA PENSIÓN</t>
  </si>
  <si>
    <t>APORTES ARP</t>
  </si>
  <si>
    <t>APORTES PARA CESANTÍAS</t>
  </si>
  <si>
    <t>CONCEJO</t>
  </si>
  <si>
    <t>PERSONERIA</t>
  </si>
  <si>
    <t>SUBSIDIO DE ALIMENTACION</t>
  </si>
  <si>
    <t>BONIFICACIÓN DE RECREACION</t>
  </si>
  <si>
    <t>PRIMA VACACIONAL</t>
  </si>
  <si>
    <t>PRIMA DE NAVIDAD</t>
  </si>
  <si>
    <t>APORTES SALUD ADMINISTRACION CENTRAL</t>
  </si>
  <si>
    <t>APORTES SALUD CONCEJALES</t>
  </si>
  <si>
    <t>TOPE LEY 617</t>
  </si>
  <si>
    <t>GASTO MAXIMO ADMINISTRACION CENTRAL</t>
  </si>
  <si>
    <t>TOTAL ADMON + ORGANOS DE CONTROL</t>
  </si>
  <si>
    <t>INVERSION CON RENTAS DE LIBRE DESTINACION</t>
  </si>
  <si>
    <t>SGP LIBRE DESTINACION</t>
  </si>
  <si>
    <t>RENTAS PROPIAS</t>
  </si>
  <si>
    <t>INVERSION CON RENTAS PROPIAS DE LIBRE DESTINACION</t>
  </si>
  <si>
    <t>FONDO DE SOLIDARIDAD PENSIONAL</t>
  </si>
  <si>
    <t>MANTENIMENTO Y REPARACIONES</t>
  </si>
  <si>
    <t>TRANSPORTE DE CONCEJALES</t>
  </si>
  <si>
    <t>OTROS GASTOS DE ADQUISICION DE SERVICIOS</t>
  </si>
  <si>
    <t>GASTOS BANCARIOS</t>
  </si>
  <si>
    <t>INHUMACION DE CADAVERES</t>
  </si>
  <si>
    <t>AFILIACIONES</t>
  </si>
  <si>
    <t>ADECUACION ARCHIVO MUNICIPAL</t>
  </si>
  <si>
    <t>B</t>
  </si>
  <si>
    <t>C</t>
  </si>
  <si>
    <t>D</t>
  </si>
  <si>
    <t>FORMULACION DEL PLAN DE DESARROLLO</t>
  </si>
  <si>
    <t>ESTUDIOS Y DISEÑOS DE INFRAESTRUCTURA MUNICIPAL</t>
  </si>
  <si>
    <t>B.1</t>
  </si>
  <si>
    <t>B.1.1</t>
  </si>
  <si>
    <t>OTROS SECTORES</t>
  </si>
  <si>
    <t>B.1.1.1</t>
  </si>
  <si>
    <t>B.2</t>
  </si>
  <si>
    <t>B.2.1</t>
  </si>
  <si>
    <t>B.2.1.1</t>
  </si>
  <si>
    <t>A.7.1.1</t>
  </si>
  <si>
    <t>A.7.1.2</t>
  </si>
  <si>
    <t>A.7.2.1</t>
  </si>
  <si>
    <t>A.7.2.2</t>
  </si>
  <si>
    <t>A.7.2.3</t>
  </si>
  <si>
    <t>A.7.3.1</t>
  </si>
  <si>
    <t>A.7.3.2</t>
  </si>
  <si>
    <t>A.7.3.3</t>
  </si>
  <si>
    <t>A.7.4.1</t>
  </si>
  <si>
    <t>A.7.4.2</t>
  </si>
  <si>
    <t>A.7.5.1</t>
  </si>
  <si>
    <t>A.7.5.2</t>
  </si>
  <si>
    <t>A.7.6.1</t>
  </si>
  <si>
    <t>A.7.6.2</t>
  </si>
  <si>
    <t>A.7.7.1</t>
  </si>
  <si>
    <t>A.7.7.2</t>
  </si>
  <si>
    <t>A.7.7.3</t>
  </si>
  <si>
    <t>A.7.7.4</t>
  </si>
  <si>
    <t>A.7.7.5</t>
  </si>
  <si>
    <t>A.7.8.1</t>
  </si>
  <si>
    <t>A.7.9.1</t>
  </si>
  <si>
    <t>A.7.9.2</t>
  </si>
  <si>
    <t>A.7.9.3</t>
  </si>
  <si>
    <t>A.7.9.4</t>
  </si>
  <si>
    <t>A.7.10.2</t>
  </si>
  <si>
    <t>TOTAL INVERSIÓN  SGP</t>
  </si>
  <si>
    <t>PROYECTOS DE ADQUISICIÓN DE PREDIOS DE RESERVA HÍDRICA Y ZONAS DE RESERVA NATURALES</t>
  </si>
  <si>
    <t>ADQUISICION DE AREAS DE INTERES ACUEDUCTOS</t>
  </si>
  <si>
    <t>C.1</t>
  </si>
  <si>
    <t>C.2</t>
  </si>
  <si>
    <t>C.5</t>
  </si>
  <si>
    <t>C.6</t>
  </si>
  <si>
    <t>C.7</t>
  </si>
  <si>
    <t>APORTES PARAFISCALES</t>
  </si>
  <si>
    <t>SENA</t>
  </si>
  <si>
    <t>ICBF</t>
  </si>
  <si>
    <t>ESAP</t>
  </si>
  <si>
    <t>CAJAS DE COMPENSACIÓN FAMILIAR</t>
  </si>
  <si>
    <t>INSTITUTOS TÉCNICOS</t>
  </si>
  <si>
    <t>ADQUISICIÓN DE BIENES</t>
  </si>
  <si>
    <t>COMPRA DE EQUIPOS</t>
  </si>
  <si>
    <t>MATERIALES Y SUMINISTROS</t>
  </si>
  <si>
    <t>ADQUISICIÓN DE SERVICIOS</t>
  </si>
  <si>
    <t>CAPACITACIÓN PERSONAL ADMINISTRATIVO</t>
  </si>
  <si>
    <t>IMPRESOS Y PUBLICACIONES</t>
  </si>
  <si>
    <t>SEGUROS</t>
  </si>
  <si>
    <t>SERVICIOS PÚBLICOS</t>
  </si>
  <si>
    <t>VIÁTICOS Y GASTOS DE VIAJE</t>
  </si>
  <si>
    <t>GASTOS ELECTORALES</t>
  </si>
  <si>
    <t>OTROS GASTOS ADQUISICIÓN DE SERVICIOS</t>
  </si>
  <si>
    <t xml:space="preserve">OTROS GASTOS GENERALES </t>
  </si>
  <si>
    <t>TRANSFERENCIAS CORRIENTES</t>
  </si>
  <si>
    <t>MESADAS PENSIONALES</t>
  </si>
  <si>
    <t>SOBRETASA AMBIENTAL -CORPORACIONES AUTÓNOMAS REGIONALES</t>
  </si>
  <si>
    <t>TRANSFERENCIA POR SOBRETASA PARA INVERSIÓN EN CEDELCA (SOLO MUNICIPIOS DEL DEPTO DEL CAUCA )</t>
  </si>
  <si>
    <t>SENTENCIAS Y CONCILIACIONES</t>
  </si>
  <si>
    <t>S.G.P. OTROS SECTORES</t>
  </si>
  <si>
    <t>A.7.1</t>
  </si>
  <si>
    <t>A.7.2</t>
  </si>
  <si>
    <t>A.7.4</t>
  </si>
  <si>
    <t>A.7.5</t>
  </si>
  <si>
    <t>A.7.6</t>
  </si>
  <si>
    <t>A.7.7</t>
  </si>
  <si>
    <t>A.7.8</t>
  </si>
  <si>
    <t>A.7.9</t>
  </si>
  <si>
    <t>A.7.10.1</t>
  </si>
  <si>
    <t>MARCO FISCAL DE MEDIANO PLAZO</t>
  </si>
  <si>
    <t>MUNICIPIO DE CAJIBIO</t>
  </si>
  <si>
    <t>CATEGORIA SEXTA</t>
  </si>
  <si>
    <t>LIQUIDACION ORGANOS DE CONTROL (LEY 617 DE 2000)</t>
  </si>
  <si>
    <t>CONCEJO MUNICIPAL</t>
  </si>
  <si>
    <t>Número Concejales</t>
  </si>
  <si>
    <t>Numero Sesiones</t>
  </si>
  <si>
    <t>Costo Sesiones</t>
  </si>
  <si>
    <t>Adicional al costo de sesiones:</t>
  </si>
  <si>
    <t>Vr. Adicional</t>
  </si>
  <si>
    <t>COSTO CORPORACION</t>
  </si>
  <si>
    <t>PERSONERIA MUNICIPAL</t>
  </si>
  <si>
    <t>SALARIOS MINIMOS AUTORIZADOS</t>
  </si>
  <si>
    <t>VR.TECHO MAXIMO DE GASTOS PERSONERIA MUNICIPAL</t>
  </si>
  <si>
    <t>SALARIO MINIMO PROYECTADO 2012</t>
  </si>
  <si>
    <t>Valor costo sesion</t>
  </si>
  <si>
    <t>INGRESOS CORRIENTES DE LIBRE DESTINACION PROYECTADOS 2012</t>
  </si>
  <si>
    <t>1.A</t>
  </si>
  <si>
    <t>1.B</t>
  </si>
  <si>
    <t>1.C</t>
  </si>
  <si>
    <t>TI.A.2.6.1.6</t>
  </si>
  <si>
    <t>TI.A.2.6.1.6.1</t>
  </si>
  <si>
    <t>TI.A.2.6.2</t>
  </si>
  <si>
    <t>TI.A.2.6.2.1</t>
  </si>
  <si>
    <t>TI.A.2.6.2.1.1</t>
  </si>
  <si>
    <t>TI.A.2.6.2.1.1.4</t>
  </si>
  <si>
    <t>TI.A.2.6.2.1.4</t>
  </si>
  <si>
    <t>TI.A.2.6.2.1.5</t>
  </si>
  <si>
    <t>TI.A.2.6.2.1.6</t>
  </si>
  <si>
    <t>TI.A.2.6.2.2</t>
  </si>
  <si>
    <t>TI.A.2.6.2.3</t>
  </si>
  <si>
    <t>TI.A.2.6.2.3.1</t>
  </si>
  <si>
    <t>TI.A.2.7</t>
  </si>
  <si>
    <t>TI.B</t>
  </si>
  <si>
    <t>TI.B.1</t>
  </si>
  <si>
    <t>TI.B.1.1</t>
  </si>
  <si>
    <t>TI.B.1.4</t>
  </si>
  <si>
    <t>TI.B.5</t>
  </si>
  <si>
    <t>TI.B.6</t>
  </si>
  <si>
    <t>TI.B.6.1</t>
  </si>
  <si>
    <t>TI.B.6.1.1</t>
  </si>
  <si>
    <t>TI.B.6.1.2</t>
  </si>
  <si>
    <t>TI.B.6.1.3</t>
  </si>
  <si>
    <t>TI.B.6.2</t>
  </si>
  <si>
    <t>TI.B.6.2.1</t>
  </si>
  <si>
    <t>TI.B.6.2.2</t>
  </si>
  <si>
    <t>TI.B.6.3</t>
  </si>
  <si>
    <t>TI.B.6.3.1</t>
  </si>
  <si>
    <t>TI.B.6.3.2</t>
  </si>
  <si>
    <t>TI.B.7</t>
  </si>
  <si>
    <t>TI.B.7.1</t>
  </si>
  <si>
    <t>TI.B.7.2</t>
  </si>
  <si>
    <t>TI.B.8</t>
  </si>
  <si>
    <t>TI.B.8.1</t>
  </si>
  <si>
    <t>TI.B.8.2</t>
  </si>
  <si>
    <t>TI.B.8.2.1</t>
  </si>
  <si>
    <t>TI.B.8.2.1.1</t>
  </si>
  <si>
    <t/>
  </si>
  <si>
    <t>TI.A.2.6.2.1.1.5</t>
  </si>
  <si>
    <t>S. G. P. EDUCACIÓN -RECURSOS DE GRATUIDAD</t>
  </si>
  <si>
    <t>TI.A.2.6.2.1.5.1</t>
  </si>
  <si>
    <t>TI.A.2.6.2.1.5.2</t>
  </si>
  <si>
    <t>TI.A.2.6.2.1.5.3</t>
  </si>
  <si>
    <t>TI.A.2.6.2.1.5.4</t>
  </si>
  <si>
    <t>SISTEMA GENERAL - DEPORTE</t>
  </si>
  <si>
    <t>SISTEMA GENERAL - CULTURA</t>
  </si>
  <si>
    <t>SISTEMA GENERAL - LIBRE INVERSION</t>
  </si>
  <si>
    <t>SISTEMA GENERAL - FONTPET</t>
  </si>
  <si>
    <t>CÓDIGO</t>
  </si>
  <si>
    <t>NOMBRE</t>
  </si>
  <si>
    <t>CONCEPTO</t>
  </si>
  <si>
    <t>X</t>
  </si>
  <si>
    <t>INGRESOS TOTALES</t>
  </si>
  <si>
    <t>INGRESOS CORRIENTES</t>
  </si>
  <si>
    <t xml:space="preserve">TRIBUTARIOS </t>
  </si>
  <si>
    <t>IMPUESTO PREDIAL UNIFICADO</t>
  </si>
  <si>
    <t>IMPUESTO PREDIAL UNIFICADO VIGENCIA ACTUAL</t>
  </si>
  <si>
    <t>IMPUESTO PREDIAL UNIFICADO VIGENCIA ANTERIORES</t>
  </si>
  <si>
    <t>COMPENSACIÓN PREDIAL POR RESGUARDOS INDÍGENAS VIGENCIA ACTUAL</t>
  </si>
  <si>
    <t>COMPENSACIÓN PREDIAL POR RESGUARDOS INDÍGENAS VIGENCIA ANTERIOR</t>
  </si>
  <si>
    <t xml:space="preserve">SOBRETASA AMBIENTAL </t>
  </si>
  <si>
    <t>CON DESTINO A LA CORPORACIÓN AMBIENTAL (SÓLO MUNICIPIOS QUE ADOPTEN SOBRETASA)</t>
  </si>
  <si>
    <t xml:space="preserve">IMPUESTO DE INDUSTRIA Y COMERCIO </t>
  </si>
  <si>
    <t>IMPUESTO DE INDUSTRIA Y COMERCIO DE LA VIGENCIA ACTUAL</t>
  </si>
  <si>
    <t>IMPUESTO DE INDUSTRIA Y COMERCIO DE LA VIGENCIA ANTERIOR</t>
  </si>
  <si>
    <t>AVISOS Y TABLEROS</t>
  </si>
  <si>
    <t>AVISOS Y TABLEROS VIGENCIA ACTUAL</t>
  </si>
  <si>
    <t>AVISOS Y TABLEROS VIGENCIAS ANTERIORES</t>
  </si>
  <si>
    <t>DEGÜELLO DE GANADO MENOR</t>
  </si>
  <si>
    <t>SOBRETASA BOMBERIL</t>
  </si>
  <si>
    <t>SOBRETASA A LA GASOLINA</t>
  </si>
  <si>
    <t>ESTAMPILLAS</t>
  </si>
  <si>
    <t>PRO DOTACIÓN Y FUNCIONAMIENTO DE CENTROS BIENESTAR DEL ANCIANO</t>
  </si>
  <si>
    <t>PRO CULTURA</t>
  </si>
  <si>
    <t>IMPUESTO SOBRE EL SERVICIO DE ALUMBRADO PÚBLICO</t>
  </si>
  <si>
    <t>CONTRIBUCIÓN SOBRE CONTRATOS DE OBRAS PÚBLICAS</t>
  </si>
  <si>
    <t>OTROS INGRESOS TRIBUTARIOS</t>
  </si>
  <si>
    <t>NO TRIBUTARIOS</t>
  </si>
  <si>
    <t>TASAS Y DERECHOS</t>
  </si>
  <si>
    <t>RECURSOS LOCALES PARA PROYECTOS DE INFRAESTRUCTURA VIAL Y DE TRANSPORTE (ART.. 112 LEY 812 DE 2003)</t>
  </si>
  <si>
    <t xml:space="preserve">CONTRIBUCIONES O GRAVÁMENES </t>
  </si>
  <si>
    <t>PUBLICACIONES</t>
  </si>
  <si>
    <t>JUEGOS DE SUERTE Y AZAR NOVEDOSOS</t>
  </si>
  <si>
    <t>OTRAS TASAS (DESAGREGAR O ESPECIFICAR)</t>
  </si>
  <si>
    <t>MULTAS Y SANCIONES</t>
  </si>
  <si>
    <t>TRÁNSITO Y TRANSPORTE</t>
  </si>
  <si>
    <t xml:space="preserve">MULTAS DE GOBIERNO </t>
  </si>
  <si>
    <t>REGISTRO DE MARCAS Y HERRETES</t>
  </si>
  <si>
    <t>INTERESES MORATORIOS</t>
  </si>
  <si>
    <t>PREDIAL</t>
  </si>
  <si>
    <t xml:space="preserve">INDUSTRIA Y COMERCIO </t>
  </si>
  <si>
    <t>VENTA DE BIENES Y SERVICIOS</t>
  </si>
  <si>
    <t>PLAZA DE MERCADO</t>
  </si>
  <si>
    <t>TRASFERENCIAS</t>
  </si>
  <si>
    <t>TRANSFERENCIAS PARA FUNCIONAMIENTO</t>
  </si>
  <si>
    <t>DEL NIVEL NACIONAL</t>
  </si>
  <si>
    <t>SGP: LIBRE DESTINACIÓN DE PARTICIPACIÓN DE PROPÓSITO GENERAL MUNICIPIOS CATEGORÍAS 4, 5 Y 6</t>
  </si>
  <si>
    <t>EMPRESA TERRITORIAL PARA LA SALUD ETESA (MÁXIMO EL 25 % EN LOS TÉRMINOS DEL ART. 60 DE LA LEY 715)</t>
  </si>
  <si>
    <t>DEL NIVEL DEPARTAMENTAL</t>
  </si>
  <si>
    <t>DE VEHÍCULOS AUTOMOTORES</t>
  </si>
  <si>
    <t>DEGÜELLO GANADO MAYOR (EN LOS TÉRMINOS QUE LO DEFINA LA ORDENANZA)</t>
  </si>
  <si>
    <t>OTRAS TRANSFERENCIAS DEL NIVEL DEPARTAMENTAL</t>
  </si>
  <si>
    <t>TRANSFERENCIA SECTOR ELÉCTRICO (SOLO EL 10% AUTORIZADO PARA LIBRE DESTINACIÓN)</t>
  </si>
  <si>
    <t>EMPRESAS DEL ORDEN NACIONAL</t>
  </si>
  <si>
    <t>OTROS</t>
  </si>
  <si>
    <t>TRASFERENCIAS PARA INVERSIÓN</t>
  </si>
  <si>
    <t>SISTEMA GENERAL DE PARTICIPACIONES -EDUCACIÓN</t>
  </si>
  <si>
    <t>S. G. P. EDUCACIÓN -RECURSOS DE CALIDAD</t>
  </si>
  <si>
    <t>S. G. P. SALUD - SALUD PUBLICA</t>
  </si>
  <si>
    <t>SISTEMA GENERAL DE PARTICIPACIONES ALIMENTACIÓN ESCOLAR</t>
  </si>
  <si>
    <t>SISTEMA GENERAL FORZOSA INVERSIÓN DE PARTICIPACIÓN PROPÓSITO GENERAL</t>
  </si>
  <si>
    <t>SISTEMA GENERAL FORZOSA INVERSIÓN PARTICIPACIÓN PROPÓSITO GENERAL: AGUA POTABLE-SANEAMIENTO BÁSICO</t>
  </si>
  <si>
    <t>EMPRESA TERRITORIAL PARA LA SALUD -ETESA -75 % - INVERSIÓN EN SALUD, ART.. 60 DE LA LEY 715/2001</t>
  </si>
  <si>
    <t>TRANSFERENCIA SECTOR ELÉCTRICO 90% PARA INVERSIÓN</t>
  </si>
  <si>
    <t>OTROS INGRESOS NO TRIBUTARIOS</t>
  </si>
  <si>
    <t>SALUD</t>
  </si>
  <si>
    <t>INGRESOS DE CAPITAL</t>
  </si>
  <si>
    <t>COFINANCIACIÓN</t>
  </si>
  <si>
    <t>COFINANCIACIÓN NACIONAL - NIVEL CENTRAL</t>
  </si>
  <si>
    <t>COFINANCIACIÓN DEPARTAMENTAL - NIVEL CENTRAL</t>
  </si>
  <si>
    <t>OTRAS COFINANCIACIONES</t>
  </si>
  <si>
    <t>RECURSOS DEL BALANCE</t>
  </si>
  <si>
    <t>CANCELACIÓN DE RESERVAS</t>
  </si>
  <si>
    <t>DE REGALÍAS</t>
  </si>
  <si>
    <t>DE SGP</t>
  </si>
  <si>
    <t>DE OTROS</t>
  </si>
  <si>
    <t>SUPERÁVIT FISCAL</t>
  </si>
  <si>
    <t>SUPERÁVIT FISCAL DE LA VIGENCIA ANTERIOR</t>
  </si>
  <si>
    <t xml:space="preserve">RECURSOS DE LIBRE DESTINACIÓN </t>
  </si>
  <si>
    <t>RECURSOS DE FORZOSA INVERSIÓN (CON DESTINACIÓN ESPECIFICA)</t>
  </si>
  <si>
    <t>SUPERÁVIT FISCAL DE VIGENCIAS ANTERIORES NO INCORPORADO</t>
  </si>
  <si>
    <t>RECURSOS QUE FINANCIAN RESERVAS PRESUPUESTALES EXCEPCIONALES (LEY 819/2003)</t>
  </si>
  <si>
    <t>VENTA DE ACTIVOS</t>
  </si>
  <si>
    <t>AL SECTOR PÚBLICO</t>
  </si>
  <si>
    <t>AL SECTOR PRIVADO</t>
  </si>
  <si>
    <t>RENDIMIENTOS POR OPERACIONES FINANCIERAS</t>
  </si>
  <si>
    <t>PROVENIENTES DE RECURSOS LIBRE DESTINACIÓN</t>
  </si>
  <si>
    <t>PROVENIENTES DE RECURSOS CON DESTINACIÓN ESPECIFICA</t>
  </si>
  <si>
    <t>PROVENIENTES DE RECURSOS SGP CON DESTINACIÓN ESPECIFICA</t>
  </si>
  <si>
    <t>PROVENIENTES DE RECURSOS SGP CON DESTINACIÓN ESPECIFICA - EDUCACIÓN</t>
  </si>
  <si>
    <t>PROVENIENTES DE RECURSOS SGP CON DESTINACIÓN ESPECIFICA - SALUD</t>
  </si>
  <si>
    <t>PROVENIENTES DE RECURSOS SGP CON DESTINACIÓN ESPECIFICA - SALUD: RÉGIMEN SUBSIDIADO</t>
  </si>
  <si>
    <t>PROVENIENTES DE RECURSOS SGP CON DESTINACIÓN ESPECIFICA - SALUD:  PÚBLICA</t>
  </si>
  <si>
    <t>TI.A.1.33</t>
  </si>
  <si>
    <t>TI.A.1.33.1</t>
  </si>
  <si>
    <t>SOBRETASA AL DEPORTE</t>
  </si>
  <si>
    <t>CALIDAD</t>
  </si>
  <si>
    <t>PREINVERSIÓN: ESTUDIOS, DISEÑOS, ASESORÍAS E INTERVENTORÍAS</t>
  </si>
  <si>
    <t>CONSTRUCCIÓN DE INFRAESTRUCTURA EDUCATIVA</t>
  </si>
  <si>
    <t>MANTENIMIENTO DE INFRAESTRUCTURA EDUCATIVA</t>
  </si>
  <si>
    <t>DOTACIÓN DE MATERIAL DIDÁCTICO, TEXTOS, EQUIPOS AUDIOVISUALES Y MANTENIMIENTO DE EQUIPOS</t>
  </si>
  <si>
    <t>PAGO DE SERVICIOS PÚBLICOS DE LAS INSTITUCIONES EDUCATIVAS</t>
  </si>
  <si>
    <t>TRANSPORTE ESCOLAR</t>
  </si>
  <si>
    <t>COMPRA DE ALIMENTOS</t>
  </si>
  <si>
    <t>COMPRA DE IMPLEMENTOS DE COCINA</t>
  </si>
  <si>
    <t>PERSONAL CONTRATADO PARA LA PREPARACIÓN DE ALIMENTOS</t>
  </si>
  <si>
    <t>RESERVAS DE INVERSIÓN EN EL SECTOR VIGENCIA ANTERIOR (LEY 819 DE 2003)</t>
  </si>
  <si>
    <t xml:space="preserve">RÉGIMEN SUBSIDIADO </t>
  </si>
  <si>
    <t xml:space="preserve">AFILIACIÓN AL RÉGIMEN SUBSIDIADO - CONTINUIDAD </t>
  </si>
  <si>
    <t xml:space="preserve">SALUD PUBLICA   </t>
  </si>
  <si>
    <t xml:space="preserve">EJECUCIÓN DEL PAB </t>
  </si>
  <si>
    <t>SERVICIO DE ACUEDUCTO</t>
  </si>
  <si>
    <t xml:space="preserve">SUBSIDIOS - FONDO DE SOLIDARIDAD Y REDISTRIBUCIÓN DEL INGRESO </t>
  </si>
  <si>
    <t>PREINVERSIÓN EN DISEÑO</t>
  </si>
  <si>
    <t>DISEÑO E IMPLANTACIÓN DE ESQUEMAS ORGANIZACIONALES PARA LA ADMINISTRACIÓN Y OPERACIÓN DE SISTEMAS DE ACUEDUCTO</t>
  </si>
  <si>
    <t>CONSTRUCCIÓN DE SISTEMAS DE ACUEDUCTO Y POTABILIZACION DEL AGUA</t>
  </si>
  <si>
    <t>AMPLIACIÓN DE SISTEMAS DE ACUEDUCTO Y POTABILIZACION DEL AGUA</t>
  </si>
  <si>
    <t>REHABILITACIÓN DE SISTEMAS DE ACUEDUCTO Y  POTABILIZACION DEL AGUA</t>
  </si>
  <si>
    <t>SERVICIO DE ALCANTARILLADO</t>
  </si>
  <si>
    <t xml:space="preserve">SUBSIDIOS - FONDO DE SOLIDARIDAD Y PREDISTRIBUCIÓN DEL INGRESO </t>
  </si>
  <si>
    <t>CONSTRUCCIÓN DE SISTEMAS DE ALCANTARILLADO SANITARIO Y TRATAMIENTO DE AGUAS RESIDUALES</t>
  </si>
  <si>
    <t>SERVICIO DE ASEO</t>
  </si>
  <si>
    <t>TRATAMIENTO Y DISPOSICIÓN FINAL DE RESIDUOS SÓLIDOS</t>
  </si>
  <si>
    <t>CONSTRUCCIÓN, REPARACIÓN Y MANTENIMIENTO DE OBRAS DE SANEAMIENTO BÁSICO RURAL</t>
  </si>
  <si>
    <t>FOMENTO, DESARROLLO Y PRÁCTICA DEL DEPORTE, LA RECREACIÓN Y EL APROVECHAMIENTO DEL TIEMPO LIBRE</t>
  </si>
  <si>
    <t>CONSTRUCCIÓN, MANTENIMIENTO Y/O ADECUACIÓN DE LOS ESCENARIOS DEPORTIVOS Y RECREATIVOS</t>
  </si>
  <si>
    <t>DOTACIÓN DE ESCENARIOS DEPORTIVOS E IMPLEMENTOS PARA LA PRACTICA DEL DEPORTE</t>
  </si>
  <si>
    <t>PREINVERSIÓN EN INFRAESTRUCTURA</t>
  </si>
  <si>
    <t>PAGO DE INSTRUCTORES CONTRATADOS PARA LA PRÁCTICA DEL DEPORTE Y LA RECREACIÓN</t>
  </si>
  <si>
    <t>FOMENTO, APOYO Y DIFUSIÓN DE EVENTOS Y EXPRESIONES ARTÍSTICAS Y CULTURALES</t>
  </si>
  <si>
    <t>CONSTRUCCIÓN, MANTENIMIENTO Y ADECUACIÓN DE LA INFRAESTRUCTURA ARTÍSTICA Y CULTURAL</t>
  </si>
  <si>
    <t xml:space="preserve">PAGO DE INSTRUCTORES CONTRATADOS PARA LAS BANDAS MUSICALES </t>
  </si>
  <si>
    <t>PAGO DE INSTRUCTORES Y BIBLIOTECÓLOGOS CONTRATADOS PARA LA EJECUCIÓN DE PROGRAMAS Y PROYECTOS ARTÍSTICOS Y CULTURALES</t>
  </si>
  <si>
    <t>SERVICIOS PÚBLICOS DIFERENTES A ACUEDUCTO ALCANTARILLADO Y ASEO (SIN INCLUIR PROYECTOS DE VIVIENDA DE INTERÉS SOCIAL)</t>
  </si>
  <si>
    <t>PAGO DE CONVENIOS O CONTRATOS DE SUMINISTRO DE ENERGÍA ELÉCTRICA PARA EL SERVICIO DE ALUMBRADO PÚBLICO O PARA EL MANTENIMIENTO Y EXPANSIÓN DEL SERVICIO DE ALUMBRADO PÚBLICO</t>
  </si>
  <si>
    <t>OBRAS DE ELECTRIFICACIÓN RURAL</t>
  </si>
  <si>
    <t>VIVIENDA</t>
  </si>
  <si>
    <t>PLANES Y PROYECTOS DE MEJORAMIENTO DE VIVIENDA Y SANEAMIENTO BÁSICO</t>
  </si>
  <si>
    <t>AGROPECUARIO</t>
  </si>
  <si>
    <t>PAGO DEL PERSONAL TÉCNICO VINCULADO A LA PRESTACIÓN DEL SERVICIO DE ASISTENCIA TÉCNICA DIRECTA RURAL</t>
  </si>
  <si>
    <t xml:space="preserve">DESARROLLO DE PROGRAMAS Y PROYECTOS PRODUCTIVOS EN EL MARCO DEL PLAN AGROPECUARIO </t>
  </si>
  <si>
    <t>TRANSPORTE</t>
  </si>
  <si>
    <t>MEJORAMIENTO DE VÍAS</t>
  </si>
  <si>
    <t>REHABILITACIÓN DE VÍAS</t>
  </si>
  <si>
    <t>AMBIENTAL</t>
  </si>
  <si>
    <t>PROYECTOS DE EDUCACIÓN AMBIENTAL NO FORMAL</t>
  </si>
  <si>
    <t>PREVENCIÓN Y ATENCIÓN DE DESASTRES</t>
  </si>
  <si>
    <t>ATENCIÓN DE DESASTRES</t>
  </si>
  <si>
    <t>PROMOCIÓN DEL DESARROLLO</t>
  </si>
  <si>
    <t>ASISTENCIA TÉCNICA EN PROCESOS DE PRODUCCIÓN, DISTRIBUCIÓN Y COMERCIALIZACIÓN Y ACCESO A FUENTES DE FINANCIACIÓN</t>
  </si>
  <si>
    <t>ATENCIÓN A GRUPOS VULNERABLES</t>
  </si>
  <si>
    <t>ATENCIÓN Y APOYO A MADRES/PADRES CABEZA DE HOGAR</t>
  </si>
  <si>
    <t>ATENCIÓN Y APOYO A LA POBLACIÓN DESPLAZADA POR LA VIOLENCIA</t>
  </si>
  <si>
    <t>DESARROLLO COMUNITARIO</t>
  </si>
  <si>
    <t xml:space="preserve">CAPACITACIÓN A LA COMUNIDAD SOBRE PARTICIPACIÓN EN LA GESTIÓN PÚBLICA </t>
  </si>
  <si>
    <t>FORTALECIMIENTO INSTITUCIONAL</t>
  </si>
  <si>
    <t>PROGRAMAS DE CAPACITACIÓN Y ASISTENCIA TÉCNICA ORIENTADOS AL DESARROLLO EFICIENTE DE LAS COMPETENCIAS DE LEY</t>
  </si>
  <si>
    <t>JUSTICIA</t>
  </si>
  <si>
    <t>PAGO DE INSPECTORES DE POLICÍA</t>
  </si>
  <si>
    <t>PAGO DE COMISARIOS DE FAMILIA, MÉDICOS, PSICÓLOGOS Y TRABAJADORES SOCIALES DE LAS COMISARÍAS DE FAMILIA.</t>
  </si>
  <si>
    <t>TI.A.2.7.3</t>
  </si>
  <si>
    <t>TI.A.2.7.3.1</t>
  </si>
  <si>
    <t>EXPEDICION DE CONSTANCIAS Y VENTA DE RECIBOS OFICIALES</t>
  </si>
  <si>
    <t>TI.A.2.7.3.2</t>
  </si>
  <si>
    <t>PAPELERIA</t>
  </si>
  <si>
    <t>VAL</t>
  </si>
  <si>
    <t>TI</t>
  </si>
  <si>
    <t>TI.A</t>
  </si>
  <si>
    <t>TI.A.1</t>
  </si>
  <si>
    <t>TI.A.1.3</t>
  </si>
  <si>
    <t>TI.A.1.3.1</t>
  </si>
  <si>
    <t>TI.A.1.3.2</t>
  </si>
  <si>
    <t>TI.A.1.3.3</t>
  </si>
  <si>
    <t>TI.A.1.3.4</t>
  </si>
  <si>
    <t>1.C1</t>
  </si>
  <si>
    <t>1.C1.1</t>
  </si>
  <si>
    <t>1.C1.1.1</t>
  </si>
  <si>
    <t>1.C1.1.4</t>
  </si>
  <si>
    <t>1.C1.1.4.1</t>
  </si>
  <si>
    <t>1.C1.1.4.2</t>
  </si>
  <si>
    <t>1.C1.1.5</t>
  </si>
  <si>
    <t>1.C1.1.6</t>
  </si>
  <si>
    <t>1.C1.1.7</t>
  </si>
  <si>
    <t>1.C1.1.9</t>
  </si>
  <si>
    <t>1.C1.1.10</t>
  </si>
  <si>
    <t>1.C1.1.11</t>
  </si>
  <si>
    <t>1.C1.1.11.1</t>
  </si>
  <si>
    <t>1.C1.1.12</t>
  </si>
  <si>
    <t>1.C1.3</t>
  </si>
  <si>
    <t>1.C1.3.1</t>
  </si>
  <si>
    <t>1.C1.4</t>
  </si>
  <si>
    <t>1.C1.4.1</t>
  </si>
  <si>
    <t>1.C1.4.1.1</t>
  </si>
  <si>
    <t>1.C1.4.1.1.1</t>
  </si>
  <si>
    <t>1.C1.4.1.1.1.1</t>
  </si>
  <si>
    <t>1.C1.4.1.1.1.2</t>
  </si>
  <si>
    <t>1.C1.4.1.1.2</t>
  </si>
  <si>
    <t>1.C1.4.1.1.3</t>
  </si>
  <si>
    <t>1.C1.4.1.1.4</t>
  </si>
  <si>
    <t>1.C1.4.1.1.5</t>
  </si>
  <si>
    <t>1.C1.4.3</t>
  </si>
  <si>
    <t>1.C1.4.3.1</t>
  </si>
  <si>
    <t>1.C1.4.3.2</t>
  </si>
  <si>
    <t>1.C1.4.3.3</t>
  </si>
  <si>
    <t>1.C1.4.3.4</t>
  </si>
  <si>
    <t>1.C1.4.3.5</t>
  </si>
  <si>
    <t>1.C2</t>
  </si>
  <si>
    <t>1.C2.1</t>
  </si>
  <si>
    <t>1.C2.1.1</t>
  </si>
  <si>
    <t>1.C2.1.2</t>
  </si>
  <si>
    <t>1.C2.2</t>
  </si>
  <si>
    <t>1.C2.2.1</t>
  </si>
  <si>
    <t>1.C2.2.2</t>
  </si>
  <si>
    <t>1.C2.2.3</t>
  </si>
  <si>
    <t>1.C2.2.4</t>
  </si>
  <si>
    <t>1.C2.2.6</t>
  </si>
  <si>
    <t>1.C2.2.8</t>
  </si>
  <si>
    <t>1.C2.2.9</t>
  </si>
  <si>
    <t>1.C2.2.10</t>
  </si>
  <si>
    <t>1.C2.2.10.1</t>
  </si>
  <si>
    <t>1.C2.2.10.2</t>
  </si>
  <si>
    <t>1.C2.2.10.3</t>
  </si>
  <si>
    <t>1.C2.2.10.4</t>
  </si>
  <si>
    <t>1.C2.2.10.5</t>
  </si>
  <si>
    <t>1.C2.2.10.6</t>
  </si>
  <si>
    <t>1.C2.3</t>
  </si>
  <si>
    <t>1.C2.3.1</t>
  </si>
  <si>
    <t>1.C3</t>
  </si>
  <si>
    <t>1.C3.1</t>
  </si>
  <si>
    <t>1.C3.8</t>
  </si>
  <si>
    <t>1.C3.11</t>
  </si>
  <si>
    <t>1.C3.15</t>
  </si>
  <si>
    <t>1.C3.16</t>
  </si>
  <si>
    <t>C.1.1</t>
  </si>
  <si>
    <t>PROGRAMAS DE SALUD</t>
  </si>
  <si>
    <t>INVERSION CON ESTAMPILLA PROCULTURA</t>
  </si>
  <si>
    <t>INVERSION CON ESTAMPILLA PRO ANCIANOS</t>
  </si>
  <si>
    <t>INVERSION CON SOBRETASA DEL DEPORTE</t>
  </si>
  <si>
    <t>SEGURIDAD SOCIAL DEL ARTISTA VIGENCIA ACTUAL LEY 666/200</t>
  </si>
  <si>
    <t>DEPORTE Y RECREACIÓN</t>
  </si>
  <si>
    <t>E</t>
  </si>
  <si>
    <t>D.1</t>
  </si>
  <si>
    <t>D.1.1</t>
  </si>
  <si>
    <t>D.1.1.1</t>
  </si>
  <si>
    <t>D.1.1.1.1</t>
  </si>
  <si>
    <t>INVERSION FONDO LOCAL DE SALUD</t>
  </si>
  <si>
    <t>C.1.2</t>
  </si>
  <si>
    <t>D.2</t>
  </si>
  <si>
    <t>D.2.1</t>
  </si>
  <si>
    <t>D.2.1.1</t>
  </si>
  <si>
    <t>D.2.1.1.1</t>
  </si>
  <si>
    <t>D.3</t>
  </si>
  <si>
    <t>D.3.1</t>
  </si>
  <si>
    <t>D.3.1.1</t>
  </si>
  <si>
    <t>D.3.1.1.1</t>
  </si>
  <si>
    <t>D.4</t>
  </si>
  <si>
    <t>D.4.1</t>
  </si>
  <si>
    <t>D.4.1.1</t>
  </si>
  <si>
    <t>D.4.1.1.1</t>
  </si>
  <si>
    <t>D.5</t>
  </si>
  <si>
    <t>D.5.1</t>
  </si>
  <si>
    <t>D.5.1.1</t>
  </si>
  <si>
    <t>D.5.1.1.1</t>
  </si>
  <si>
    <t>D.6</t>
  </si>
  <si>
    <t>D.6.1</t>
  </si>
  <si>
    <t>D.6.1.1</t>
  </si>
  <si>
    <t>D.6.1.1.1</t>
  </si>
  <si>
    <t>INVERSION CON RENTAS DE DESTINACION ESPECIFICA DE ORDEN MUNICIPAL</t>
  </si>
  <si>
    <t>INVERSION CON RECURSOS DEL FOSYGA - SSF</t>
  </si>
  <si>
    <t>AFILIACIÓN AL RÉGIMEN SUBSIDIADO - CONTINUIDAD</t>
  </si>
  <si>
    <t>S.G.P REGIMEN SUBSIDIADO - SSF</t>
  </si>
  <si>
    <t>D.7</t>
  </si>
  <si>
    <t>D.7.1</t>
  </si>
  <si>
    <t>D.7.1.1</t>
  </si>
  <si>
    <t>D.7.1.1.1</t>
  </si>
  <si>
    <t>D.8</t>
  </si>
  <si>
    <t>D.8.1</t>
  </si>
  <si>
    <t>D.8.1.1</t>
  </si>
  <si>
    <t>D.8.1.1.1</t>
  </si>
  <si>
    <t>FONDO TERRITORIAL DE SEGURIDAD (LEY 1106 DE 2006)</t>
  </si>
  <si>
    <t>MANTENIMIENTO PERIÓDICO DE VÍAS</t>
  </si>
  <si>
    <t>EQUIPAMENTO MUNICIPAL</t>
  </si>
  <si>
    <t>INFRAESTRUCTURA DEL MATADERO</t>
  </si>
  <si>
    <t>E.1</t>
  </si>
  <si>
    <t>E.2</t>
  </si>
  <si>
    <t>INVENRSION CON RECURSOS DEL BALANCE</t>
  </si>
  <si>
    <t>E.3</t>
  </si>
  <si>
    <t>E.1.1</t>
  </si>
  <si>
    <t>E.1.2</t>
  </si>
  <si>
    <t>E.2.1</t>
  </si>
  <si>
    <t>E.2.2</t>
  </si>
  <si>
    <t>E.2.3</t>
  </si>
  <si>
    <t>E.3.1</t>
  </si>
  <si>
    <t>E.3.1.1</t>
  </si>
  <si>
    <t>E.3.1.1.1</t>
  </si>
  <si>
    <t>C.3</t>
  </si>
  <si>
    <t>C.4</t>
  </si>
  <si>
    <t>C.2.1</t>
  </si>
  <si>
    <t>C.2.1.1</t>
  </si>
  <si>
    <t>C.3.1</t>
  </si>
  <si>
    <t>C.3.1.1</t>
  </si>
  <si>
    <t>C.4.1</t>
  </si>
  <si>
    <t>C.4.1.1</t>
  </si>
  <si>
    <t>C.5.1</t>
  </si>
  <si>
    <t>C.5.1.1</t>
  </si>
  <si>
    <t>INVERSION CON TRANSFERENCIAS DEL SECTOR ELECTRICO</t>
  </si>
  <si>
    <t>C.6.1</t>
  </si>
  <si>
    <t>C.6.1.1</t>
  </si>
  <si>
    <t>C.6.1.2</t>
  </si>
  <si>
    <t>C.6.1.3</t>
  </si>
  <si>
    <t>C.7.1</t>
  </si>
  <si>
    <t>C.7.1.1</t>
  </si>
  <si>
    <t>GASTOS TOTALES</t>
  </si>
  <si>
    <t>TOTAL GASTOS DE INVERSION</t>
  </si>
  <si>
    <t>A.8</t>
  </si>
  <si>
    <t>ALIMENTACIÓN ESCOLAR SGP</t>
  </si>
  <si>
    <t>A.8.1</t>
  </si>
  <si>
    <t>A.8.2</t>
  </si>
  <si>
    <t>A.8.3</t>
  </si>
  <si>
    <t>A.9</t>
  </si>
  <si>
    <t>SISTEMA GENERAL - FONPET SSF</t>
  </si>
  <si>
    <t>APORTES FONDO TERRITORIAL DE PENSIONES</t>
  </si>
  <si>
    <t>Aportes Fondo Territorial de pensiones FONPET</t>
  </si>
  <si>
    <t>A.9.1</t>
  </si>
  <si>
    <t>A.9.1.1</t>
  </si>
  <si>
    <t>TI.A.2.6.2.1.6.1</t>
  </si>
  <si>
    <t>SGP AGUA POTABLE Y SANEAMIENTO BASICO CSF</t>
  </si>
  <si>
    <t>TI.A.2.6.2.1.6.2</t>
  </si>
  <si>
    <t>SGP AGUA POTABLE Y SANEAMIENTO BASICO SSF</t>
  </si>
  <si>
    <t>TI.C</t>
  </si>
  <si>
    <t>INGRESOS DEL FONDO LOCAL DE SALUD</t>
  </si>
  <si>
    <t>TI.C.1</t>
  </si>
  <si>
    <t>INGRESOS CON DERECHOS DE EXPLOTACIÓN DE JUEGOS DE SUERTE Y AZAR</t>
  </si>
  <si>
    <t>TI.C.1.1</t>
  </si>
  <si>
    <t>TI.C.2</t>
  </si>
  <si>
    <t>INGRESOS CON SISTEMA GENERAL DE PARTICIPACIONES -SALUD</t>
  </si>
  <si>
    <t>TI.C.2.1</t>
  </si>
  <si>
    <t>S. G. P. SALUD - RÉGIMEN SUBSIDIADO SSF</t>
  </si>
  <si>
    <t>TI.C.2.1.1</t>
  </si>
  <si>
    <t>S. G. P. SALUD - RÉGIMEN SUBSIDIADO CONTINUIDAD SSF</t>
  </si>
  <si>
    <t>TI.C.2.1.2</t>
  </si>
  <si>
    <t>TI.C.3</t>
  </si>
  <si>
    <t>INGRESOS CON SISTEMA GENERAL FORZOSA INVERSIÓN DE PARTICIPACIÓN PROPÓSITO GENERAL</t>
  </si>
  <si>
    <t>TI.C.3.1</t>
  </si>
  <si>
    <t>TI.C.4</t>
  </si>
  <si>
    <t>INGRESOS CON TRASNSFERENCIAS DEL NIVEL NACIONAL</t>
  </si>
  <si>
    <t>TI.C.4.1</t>
  </si>
  <si>
    <t>FONDO DE SOLIDARIDAD Y GARANTÍAS -FOSYGA SSF</t>
  </si>
  <si>
    <t>TI.C.4.1.1</t>
  </si>
  <si>
    <t>TI.C.5</t>
  </si>
  <si>
    <t>INGRESOS CON RECURSOS DE COFINANCIACIÓN</t>
  </si>
  <si>
    <t>TI.C.5.1</t>
  </si>
  <si>
    <t>TI.C.5.1.1</t>
  </si>
  <si>
    <t>TI.C.6</t>
  </si>
  <si>
    <t>INGRESOS CON RENDIMIENTOS POR OPERACIONES FINANCIERAS</t>
  </si>
  <si>
    <t>TI.C.6.1</t>
  </si>
  <si>
    <t>TI.C.6.1.1</t>
  </si>
  <si>
    <t>TI.C.6.1.2</t>
  </si>
  <si>
    <t>B.3</t>
  </si>
  <si>
    <t>B.3.1</t>
  </si>
  <si>
    <t>MATRIZ DE USOS</t>
  </si>
  <si>
    <t>1. GASTOS DE FUNCIONAMIENTO</t>
  </si>
  <si>
    <t>2.1. INVERSION FINANCIADA CON RECURSOS DEL SISTEMA GENERAL DE PARTICIPACIONES</t>
  </si>
  <si>
    <t>PARTICIPACION PARA EDUCACION</t>
  </si>
  <si>
    <t>GRATUIDAD</t>
  </si>
  <si>
    <t>PARTICIPACION PARA SALUD</t>
  </si>
  <si>
    <t>REGIMEN SUBSIDIADO</t>
  </si>
  <si>
    <t>SALUD PUBLICA</t>
  </si>
  <si>
    <t>PARTICIPACION PARA AGUA POTABLE Y SANEAMIENTO BASICO</t>
  </si>
  <si>
    <t>SUBSIDIOS</t>
  </si>
  <si>
    <t>OTRAS INVERSIONES</t>
  </si>
  <si>
    <t>PARTICIPACION PARA PROPOSITO GENERAL</t>
  </si>
  <si>
    <t>DEPORTE</t>
  </si>
  <si>
    <t>CULTURA</t>
  </si>
  <si>
    <t xml:space="preserve">OTROS SECTORES </t>
  </si>
  <si>
    <t>FONPET</t>
  </si>
  <si>
    <t>PARTICIPACION ESPECIAL</t>
  </si>
  <si>
    <t>ALIMENTACION ESCOLAR</t>
  </si>
  <si>
    <t>OTROS SECTORES SOCIALES (ICLD)</t>
  </si>
  <si>
    <t>OTROS SECTORES SOCIALES (SGP)</t>
  </si>
  <si>
    <t>OTROS SECTORES SOCIALES (ETESA)</t>
  </si>
  <si>
    <t>2.6. RENDIMIENTOS FINANCIEROS</t>
  </si>
  <si>
    <t>2.6.1</t>
  </si>
  <si>
    <t>RENDIMIENTOS FINANCIEROS</t>
  </si>
  <si>
    <t>7. RENTAS PROPIAS DE DESTINACION ESPECIFICA</t>
  </si>
  <si>
    <t>7.1 DEGUELLO GANADO MAYOR</t>
  </si>
  <si>
    <t>7.2 ESTAMPILLA PRO ANCIANO</t>
  </si>
  <si>
    <t>7.3 ESTAMPILLA PROCULTURA</t>
  </si>
  <si>
    <t>7.4 SOBRETASA DEL DEPORTE</t>
  </si>
  <si>
    <t>7.5. CONTRIBUCION VIAL</t>
  </si>
  <si>
    <t>7.6 SOBRETASA BOMBERIL</t>
  </si>
  <si>
    <t>7.7 TRANSFERENCIAS DEL SECTOR ELECTRICO</t>
  </si>
  <si>
    <t>7.8 ALUMBRADO PUBLICO</t>
  </si>
  <si>
    <t>7.9 FONDO DE SEGURIDAD CIUDADANA</t>
  </si>
  <si>
    <t>7.10 OTRAS RENTAS</t>
  </si>
  <si>
    <t>MATRIZ DE FUENTES DE FINANCIACION DEL PRESUPUESTO</t>
  </si>
  <si>
    <t>1. SISTEMA GENERAL DE PARTICIPACIONES</t>
  </si>
  <si>
    <t>1.1 PARTICIPACION PARA EDUCACION</t>
  </si>
  <si>
    <t>1.2 PARTICIPACION PARA SALUD</t>
  </si>
  <si>
    <t>1.3 PARTICIPACION PARA AGUA POTABLE Y SANEAMIENTO BASICO</t>
  </si>
  <si>
    <t>1.4 PARTICIPACION PARA PROPOSITO GENERAL</t>
  </si>
  <si>
    <t>1.5 PARTICIPACION ESPECIAL PARA ALIMENTACION ESCOLAR</t>
  </si>
  <si>
    <t>2. FOSYGA</t>
  </si>
  <si>
    <t>3. INGRESOS PROPIOS DE LIBRE DESTINACION</t>
  </si>
  <si>
    <t>4. ETESA</t>
  </si>
  <si>
    <t>5. COFINANCIACION</t>
  </si>
  <si>
    <t>6. RENDIMIENTOS FINANCIEROS</t>
  </si>
  <si>
    <t>CONTINUIDAD SSF</t>
  </si>
  <si>
    <t>C.1.1.1</t>
  </si>
  <si>
    <t>C.1.1.2</t>
  </si>
  <si>
    <t>PROCULTURA</t>
  </si>
  <si>
    <t>TI.A.1.28.2</t>
  </si>
  <si>
    <t>COFINANCIACION</t>
  </si>
  <si>
    <t>7. RECUPERACION DE CARTERA</t>
  </si>
  <si>
    <t>7.11 SOBRETASA AMBIENTAL</t>
  </si>
  <si>
    <t>7.12 MULTAS DE TRANSITO Y TRANSPORTE</t>
  </si>
  <si>
    <t>8. RENTAS PROPIAS DE DESTINACION ESPECIFICA</t>
  </si>
  <si>
    <t>8.1 DEGUELLO GANADO MAYOR</t>
  </si>
  <si>
    <t>8.2 ESTAMPILLA PRO ANCIANO</t>
  </si>
  <si>
    <t>8.3 ESTAMPILLA PROCULTURA</t>
  </si>
  <si>
    <t>8.4 SOBRETASA DEL DEPORTE</t>
  </si>
  <si>
    <t>8.5. CONTRIBUCION VIAL</t>
  </si>
  <si>
    <t>8.6 SOBRETASA BOMBERIL</t>
  </si>
  <si>
    <t>8.7 TRANSFERENCIAS DEL SECTOR ELECTRICO</t>
  </si>
  <si>
    <t>8.8 ALUMBRADO PUBLICO</t>
  </si>
  <si>
    <t>8.9 FONDO DE SEGURIDAD CIUDADANA</t>
  </si>
  <si>
    <t>8.10 OTRAS RENTAS</t>
  </si>
  <si>
    <t>8,11 SOBRETASA AMBIENTAL</t>
  </si>
  <si>
    <t>8.12 MULTAS DE TRANSITO Y TRANSPORTE</t>
  </si>
  <si>
    <t>SUPERAVIT PRIMARIO - LEY 819 DE 2.003</t>
  </si>
  <si>
    <t>EL VALOR ESTABLECIDO COMO SUPERAVIT PRIMARIO SE UTILIZARA PARA CUBRIR PASIVOS CONTINGENTES</t>
  </si>
  <si>
    <t>PLAN FINANCIERO</t>
  </si>
  <si>
    <t>El Plan financiero como lo define el Estatuto Orgánico de Presupuesto (Decreto 111 de 1.996), "Es un instrumento de planificación financiera del sector público, que tiene como base las operaciones efectivas de caja de las entidades, cuyo efecto cambiario, monetario y fiscal sea de tal magnitud que amerite incluirlas en el plan.</t>
  </si>
  <si>
    <t>Tomará en consideración las previsiones de ingresos, gastos, déficit y su financiación, compatibles con el Plan Anual de Caja y las políticas cambiaria y monetaria"</t>
  </si>
  <si>
    <t xml:space="preserve">En este informe se analiza la relación de los gastos de funcionamiento frente a los ingresos corrientes de libre destinación, es decir, la financiación del gasto corriente y su cumplimiento dentro de los límites de ajuste a que se refiere la ley 617 de 2.000 y la capacidad de pago del Municipio conforme a la Ley 358 de 1.997  </t>
  </si>
  <si>
    <t>RECURSOS DE CAPITAL</t>
  </si>
  <si>
    <t>Están representados por los rendimientos financieros de las cuentas de ahorro que posee el municipio en el sistema financiero, especialmente aquellas constituidas por ingresos con destino a la financiación del régimen subsidiado de salud.</t>
  </si>
  <si>
    <t>PRESUPUESTO DE GASTOS</t>
  </si>
  <si>
    <t>DÉFICIT FISCAL</t>
  </si>
  <si>
    <t>El Municipio ha venido atendiendo el déficit fiscal con recursos Corrientes de Libre Destinacion, para el pago de las obligaciones del sector salud.</t>
  </si>
  <si>
    <t>CODIGO</t>
  </si>
  <si>
    <t>VIGENCIA FISCAL</t>
  </si>
  <si>
    <t>TRIBUTARIOS</t>
  </si>
  <si>
    <t>TOTAL INGRESOS</t>
  </si>
  <si>
    <t>2.</t>
  </si>
  <si>
    <t>GASTOS</t>
  </si>
  <si>
    <t>2.1.</t>
  </si>
  <si>
    <t>FUNCIONAMIENTO</t>
  </si>
  <si>
    <t>2.2</t>
  </si>
  <si>
    <t>SERVICIO DEUDA</t>
  </si>
  <si>
    <t>2.3</t>
  </si>
  <si>
    <t>INVERSIÓN</t>
  </si>
  <si>
    <t>2. METAS DE SUPERÁVIT PRIMARIO</t>
  </si>
  <si>
    <t>En el cuadro   anexo a este documento, se calcula en un plazo de 10 años, las metas de superávit primario que debe observar el municipio, de conformidad con las proyecciones de ingresos y gastos del plan financiero.</t>
  </si>
  <si>
    <t>Con la proyección de ingresos en el escenario proyectado del marco fiscal, se están programando los ingresos necesarios y suficientes para financiar el funcionamiento del ente territorial y obtener un ahorro corriente importante para la financiación del servicio de la deuda adquirida.</t>
  </si>
  <si>
    <t>Una vez concluido el pago del servicio de la deuda, el superávit primario se deberá orientar para atender inversión o el cumplimiento de fallos judiciales en trámite.</t>
  </si>
  <si>
    <t>3. ACCIONES EN QUE SE SUSTENTA EL CUMPLIMIENTO DE LAS METAS PROGRAMADAS</t>
  </si>
  <si>
    <t>Igualmente se debe implementar el proceso de cobro coactivo para el impuesto predial y de industria y comercio y el cobro de multas por infracciones de tránsito.</t>
  </si>
  <si>
    <t>La racionalidad en los gastos se encuentra ajustada a las disposiciones de Ley 617 de 2.000.</t>
  </si>
  <si>
    <t>El gasto debe estar ajustado al plan anual mensualizado de caja.</t>
  </si>
  <si>
    <t>Presupuesto de Ingresos:</t>
  </si>
  <si>
    <t>PRESUPUESTO INICIAL INGRESOS</t>
  </si>
  <si>
    <t>PRESUPUESTO DEFINITIVO</t>
  </si>
  <si>
    <t>RECAUDO EFECTIVO</t>
  </si>
  <si>
    <t>EFICIENCIA  DEL RECAUDO</t>
  </si>
  <si>
    <t xml:space="preserve">No se incluyen reconocimientos. </t>
  </si>
  <si>
    <t>Presupuesto de Gastos:</t>
  </si>
  <si>
    <t>PRESUPUESTO INICIAL GASTOS</t>
  </si>
  <si>
    <t>PAGOS</t>
  </si>
  <si>
    <t>DEUDA</t>
  </si>
  <si>
    <t>SITUACIÓN PRESUPUESTAL: SUPERAVIT</t>
  </si>
  <si>
    <t>SITUACION DE TESORERIA : SUPERAVIT</t>
  </si>
  <si>
    <t>El Superávit de Tesorería se destinó  a cubrir las cuentas por pagar y las reservas presupuestales derivadas de los compromisos y obligaciones de la vigencia anterior y aquellos saldos no afectados se incorporaron al presupuesto de la vigencia en curso.</t>
  </si>
  <si>
    <t>Para la vigencia 2.013, se ha calculado el Plan Financiero sobre la base de las fuentes de financiación con que cuenta el Municipio de Cajibio, de conformidad con las normas que las asignan, con un crecimiento promedio del 2,5%, en los años del escenario, considerando única y exclusivamente la recuperación del efecto inflacionario previsto para la próxima vigencia.</t>
  </si>
  <si>
    <t xml:space="preserve">La proyección de los Ingresos corrientes de la entidad territorial para el proyecto de presupuesto de Rentas e Ingresos para la vigencia fiscal 2.013, relacionada en el cuadro de proyecciones, incluye el informe de su ejecución en los últimos cuatro años y el cálculo proyectado en el mediano plazo, es decir para los próximos 10  años, o sea, 2.013 al 2.022. </t>
  </si>
  <si>
    <t>La proyección de ingresos se hace teniendo en cuenta el promedio de la sumatoria de ingresos de los  últimos cinco años con la ejecución de la vigencia, incrementados en un 2,5% para todos los años de proyeccion.</t>
  </si>
  <si>
    <t xml:space="preserve">Las operaciones efectivas de caja  del Plan Financiero demuestra el grado dependencia de la estructura rentística municipal de los valores transferidos por la nación,  esencialmente por concepto de Transferencias, tanto del sistema general de participaciones -SGP, como del aportes del Fosyga.                 </t>
  </si>
  <si>
    <r>
      <t xml:space="preserve">2. Impuesto Predial, con recaudo efectivo en el 2.011 de $ 363,808,299  pronóstico de </t>
    </r>
    <r>
      <rPr>
        <sz val="11"/>
        <rFont val="Arial"/>
        <family val="2"/>
      </rPr>
      <t>recaudo  para el 2.013 de $  370,000,000 y recaudo efectivo a septiembre 30 de 2.012 de $  300,045,704</t>
    </r>
  </si>
  <si>
    <r>
      <t>1.Sobretasa de la Gasolina, con recaudo efectivo de la vigencia anterior  2.011  de $ 139,383,150, pronóstico de recaudo  para el 2.</t>
    </r>
    <r>
      <rPr>
        <sz val="11"/>
        <rFont val="Arial"/>
        <family val="2"/>
      </rPr>
      <t xml:space="preserve">013 de $ 161,000,000. </t>
    </r>
  </si>
  <si>
    <t>En  orden de importancia  las cuatro  rentas municipales en Cajibío  de mayor recaudo, son las siguientes:</t>
  </si>
  <si>
    <t>4, El impuesto de Industria y Comercio, es también representativo con los siguientes recaudos efectivos: En la vigencia 2011 con $30,324,726, recaudo efectivo en 2012 hasta septiembre 30 por $61,843,173 y proyección para 2013 de $76,000,000 de pesos.</t>
  </si>
  <si>
    <t>Las transferencias nacionales, especialmente las provenientes del sistema general de participaciones, fueron disminuidas por decisión de la Ley 1176 de 2.007, se redujeron los ingresos en la participación de propósito general por ser  municipio mayor de 25.000 habitantes.</t>
  </si>
  <si>
    <t>En la vigencia fiscal de 2013 se proyecta el endeudamiento para inversión en maquinaria, actualmente en trámite en Banco Agrario de Colombia, debidamente autorizado por el H. Concejo Municipal por valor de SETECIENTOS MILLONES DE PESOS (700.000.000,oo)</t>
  </si>
  <si>
    <t>SERVICIO DE LA DEUDA</t>
  </si>
  <si>
    <r>
      <t xml:space="preserve">El porcentaje de los gastos de la Administración central es del </t>
    </r>
    <r>
      <rPr>
        <b/>
        <sz val="11"/>
        <color indexed="10"/>
        <rFont val="Arial"/>
        <family val="2"/>
      </rPr>
      <t>65.92%</t>
    </r>
    <r>
      <rPr>
        <sz val="11"/>
        <color indexed="8"/>
        <rFont val="Arial"/>
        <family val="2"/>
      </rPr>
      <t xml:space="preserve"> frente a los ingresos corrientes de libre destinación, igual al valor certificado por la Contraloría General de la República, pero necesario para atender el pago de los incrementos salariales y algunos retroactivos.</t>
    </r>
  </si>
  <si>
    <t>PLAN FINANCIERO PERIODO 2013-2014</t>
  </si>
  <si>
    <t>20,229,572,088</t>
  </si>
  <si>
    <t>15,983,851,989</t>
  </si>
  <si>
    <t>Para el año 2.011 se aforó un presupuesto de ingresos y gastos del Municipio de Cajibio en cuantía de $ 20,095,047,057 pesos.</t>
  </si>
  <si>
    <t>VIGENCIA 2011</t>
  </si>
  <si>
    <t>En pesos de 2011</t>
  </si>
  <si>
    <t>4.   INFORME DE LOS RESULTADOS FISCALES DE LA VIGENCIA ANTERIOR-2011</t>
  </si>
  <si>
    <t>La ejecución de los ingresos  de 2011,  fue de $ 20,229.572,088, es decir superó la meta trazada en un 0.67 %,  con un indicador del 100,70, como puede detallarse en el cuadro  siguiente:</t>
  </si>
  <si>
    <t>Nota: En las proyecciones no se han incluido la inversiones del Sistema General de Regalias.-SGR- para la vigencia 2013.</t>
  </si>
  <si>
    <t>La finalidad del superávit primario es atender adecuadamente el servicio de la deuda pública  que contratará en la vigencia 2013  por la entidad territorial y el cubrimiento de los pasivos contingentes, se obtiene de restar de los ingresos corrientes , los gastos de funcionamiento y la inversión.</t>
  </si>
  <si>
    <t>Con relación a los ingresos, se recomienda implementar los cobros pre jurídicos para el mejoramiento del recaudo; se hace necesario avanzar en procesos de saneamiento de la cartera de predial, la  sistematización de las bases de datos del impuesto de industria y comercio y continuar con la vigilancia sobre las ventas de la gasolina motor.</t>
  </si>
  <si>
    <t>Debe duplicarse el esfuerzo para incrementar el recaudo de las rentas propias para mejorar el perfil de las variables de esfuerzo fiscal y eficiencia administrativa determinadas en las Leyes 715 de 2.001 y 1176 de 2.007, acción que repercute positivamente en la liquidación de la participación de propósito general.</t>
  </si>
  <si>
    <t>Las apropiaciones del presupuesto de gastos para la vigencia 2.012 y las proyecciones en el marco fiscal de mediano plazo (2.012-2.021) se han calculado de tal manera que permitan cubrir los gastos de funcionamiento de la Administración Central, el Concejo Municipal y la Personería Municipal, ajustadas al escenario de gasto autorizado en la Ley 617 de 2.000 con un incremento aproximado del 4 % en promedio entre la sumatoria de los gastos personales y generales. Los recursos del Sistema General de Regalias estan pendientes de incorporar, hasta tanto haya información cierta de las asignaciónes autorizadas por la Nación.</t>
  </si>
  <si>
    <t>F</t>
  </si>
  <si>
    <t>AGUA POTABLE Y SANEAMIENTO BÁSICO  (SIN INCLUIR PROYECTOS DE VIS)  CSF INCLUYE  PDA(33%)</t>
  </si>
  <si>
    <t>SUPERAVIT PRIMARIO SIN SGP SALUD  Y EDUCACION</t>
  </si>
  <si>
    <t>Revisión Jurídica: Dr. Manuel Domingo Meza Gómez</t>
  </si>
  <si>
    <t>Proyectó: CP. José Francisco Quinchoa Collazos</t>
  </si>
  <si>
    <t>9. RECURSOS DE CAPITAL - SERVICIO DE LA DEUDA</t>
  </si>
  <si>
    <t>PRESUPUESTO PROGRAMADO VIGENCIA FISCAL 2013</t>
  </si>
  <si>
    <t>Revisión Jurídica: Dr. Manuel Domingo Meza  Gómez</t>
  </si>
  <si>
    <t>En Pesos</t>
  </si>
  <si>
    <t>PRESUPUESTO DE GASTOS DE FUNCIONAMIENTO E INVERSION PROGRAMADO</t>
  </si>
  <si>
    <t>TOTAL GASTOS</t>
  </si>
  <si>
    <t>SISTEMA GENERAL PARTICIPACIÓN: AGUA POTABLE-SANEAMIENTO BÁSICO</t>
  </si>
  <si>
    <t>TI.B.6.2.1.1</t>
  </si>
  <si>
    <t>RECURSOS DEL CREDITO</t>
  </si>
  <si>
    <t>G1.1 CONCEJO MUNICIPAL</t>
  </si>
  <si>
    <t>G1.2 PERSONERIA MUNICIPAL</t>
  </si>
  <si>
    <t>G1.3 ALCALDIA MUNICIPAL</t>
  </si>
  <si>
    <t>G. INVERSION</t>
  </si>
  <si>
    <t>GA11</t>
  </si>
  <si>
    <t>GA1</t>
  </si>
  <si>
    <t>GA112</t>
  </si>
  <si>
    <t>GA2</t>
  </si>
  <si>
    <t>GA21</t>
  </si>
  <si>
    <t>GA211</t>
  </si>
  <si>
    <t xml:space="preserve">GA22 </t>
  </si>
  <si>
    <t>GA3</t>
  </si>
  <si>
    <t>GA4</t>
  </si>
  <si>
    <t>GA5</t>
  </si>
  <si>
    <t>GA113210</t>
  </si>
  <si>
    <t>GA221     INGRESOS CORRIENTES DE LIBRE DESTINACION</t>
  </si>
  <si>
    <t>GA221    . INVERSION FINANCIADA CON RECURSOS DEL FOSYGA SSF</t>
  </si>
  <si>
    <t>GA2211</t>
  </si>
  <si>
    <t>GA241       INVERSION FINANCIADA CON RECURSOS DE JUEGOS ( ETESA)</t>
  </si>
  <si>
    <t>GA2411</t>
  </si>
  <si>
    <t>GA231   INVERSION CON RECURSOS DE COFINANCIACION</t>
  </si>
  <si>
    <t>GA2311</t>
  </si>
  <si>
    <t>GB11 INGRESOS DE CAPÍTAL</t>
  </si>
  <si>
    <t>GB11</t>
  </si>
  <si>
    <r>
      <t xml:space="preserve">Estas  rentas  representaron  en las últimas  vigencia fiscales el </t>
    </r>
    <r>
      <rPr>
        <sz val="11"/>
        <rFont val="Arial"/>
        <family val="2"/>
      </rPr>
      <t xml:space="preserve">86,39% </t>
    </r>
    <r>
      <rPr>
        <sz val="11"/>
        <color indexed="8"/>
        <rFont val="Arial"/>
        <family val="2"/>
      </rPr>
      <t>de las rentas propias  sin considerar  las transferencias de libre destinación del sistema general de participaciones.</t>
    </r>
  </si>
  <si>
    <t>Si incluímos la libre destinación de la participación de propósito general, estas  rentas aportaron en la última vigencia fiscal el 69,45% de todos los ingresos de libre destinación que recauda el Municipio.</t>
  </si>
  <si>
    <t>Los ingresos para la vigencia 2.013 se proyectan con un incremento  promedio  del 4%, teniendo en cuenta que las rentas propias incrementaran como resultados del incremento en inversión social que tiene com o fuente el Fondo Nacional de Regalias,  por lo tanto la incrementarse la inversión se incrementas los recaudos por estampillas, industria y comercio .</t>
  </si>
  <si>
    <t>COMPRA DE MENAJE</t>
  </si>
  <si>
    <t xml:space="preserve">Los gastos del concejo municipal se liquidan de conformidad con las disposiciones legales establecidas en la Ley 617 de 2.000, y decreto 1368 del 2009e s decir, valorando 70 sesiones ordinarias y 20 extraordinarias incrementado con el IPC, valor adicionado con el 1,5%  de los ingresos corrientes de libre destinación proyectados, en consideración a que éstos  sobrepasan los  1000 millones de pesos en  recaudos. </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</si>
</sst>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_ [$€-2]\ * #,##0.00_ ;_ [$€-2]\ * \-#,##0.00_ ;_ [$€-2]\ * &quot;-&quot;??_ "/>
    <numFmt numFmtId="174" formatCode="#,##0."/>
    <numFmt numFmtId="175" formatCode="_(* #,##0_);_(* \(#,##0\);_(* &quot;-&quot;??_);_(@_)"/>
    <numFmt numFmtId="176" formatCode="_ * #,##0_ ;_ * \-#,##0_ ;_ * &quot;-&quot;??_ ;_ @_ "/>
    <numFmt numFmtId="177" formatCode="_ * #,##0.000_ ;_ * \-#,##0.000_ ;_ * &quot;-&quot;??_ ;_ @_ "/>
    <numFmt numFmtId="178" formatCode="0.0%"/>
    <numFmt numFmtId="179" formatCode="_(&quot;$&quot;\ * #,##0_);_(&quot;$&quot;\ * \(#,##0\);_(&quot;$&quot;\ * &quot;-&quot;??_);_(@_)"/>
    <numFmt numFmtId="180" formatCode="_-* #,##0\ _P_t_s_-;\-* #,##0\ _P_t_s_-;_-* &quot;-&quot;??\ _P_t_s_-;_-@_-"/>
    <numFmt numFmtId="181" formatCode="_(* #,##0.0_);_(* \(#,##0.0\);_(* &quot;-&quot;??_);_(@_)"/>
    <numFmt numFmtId="182" formatCode="#,##0.0"/>
    <numFmt numFmtId="183" formatCode="#,##0.000"/>
  </numFmts>
  <fonts count="51">
    <font>
      <sz val="10"/>
      <name val="Arial"/>
      <family val="0"/>
    </font>
    <font>
      <sz val="11"/>
      <color indexed="8"/>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9"/>
      <name val="Tahoma"/>
      <family val="2"/>
    </font>
    <font>
      <b/>
      <sz val="10"/>
      <name val="Arial"/>
      <family val="2"/>
    </font>
    <font>
      <sz val="9"/>
      <color indexed="8"/>
      <name val="Arial"/>
      <family val="2"/>
    </font>
    <font>
      <b/>
      <sz val="10"/>
      <color indexed="8"/>
      <name val="Arial"/>
      <family val="2"/>
    </font>
    <font>
      <b/>
      <sz val="9"/>
      <name val="Arial"/>
      <family val="2"/>
    </font>
    <font>
      <sz val="9"/>
      <name val="Arial"/>
      <family val="2"/>
    </font>
    <font>
      <b/>
      <sz val="9"/>
      <color indexed="8"/>
      <name val="Arial"/>
      <family val="2"/>
    </font>
    <font>
      <b/>
      <sz val="12"/>
      <name val="Arial"/>
      <family val="2"/>
    </font>
    <font>
      <b/>
      <sz val="11"/>
      <name val="Arial"/>
      <family val="2"/>
    </font>
    <font>
      <sz val="12"/>
      <name val="Arial"/>
      <family val="2"/>
    </font>
    <font>
      <sz val="11"/>
      <color indexed="8"/>
      <name val="Verdana"/>
      <family val="2"/>
    </font>
    <font>
      <sz val="8"/>
      <color indexed="8"/>
      <name val="Arial"/>
      <family val="2"/>
    </font>
    <font>
      <b/>
      <sz val="9"/>
      <name val="Tahoma"/>
      <family val="2"/>
    </font>
    <font>
      <b/>
      <sz val="11"/>
      <color indexed="8"/>
      <name val="Arial"/>
      <family val="2"/>
    </font>
    <font>
      <sz val="11"/>
      <color indexed="8"/>
      <name val="Arial"/>
      <family val="2"/>
    </font>
    <font>
      <sz val="11"/>
      <name val="Arial"/>
      <family val="2"/>
    </font>
    <font>
      <b/>
      <sz val="8"/>
      <color indexed="8"/>
      <name val="Arial"/>
      <family val="2"/>
    </font>
    <font>
      <b/>
      <sz val="12"/>
      <color indexed="8"/>
      <name val="Arial"/>
      <family val="2"/>
    </font>
    <font>
      <b/>
      <sz val="11"/>
      <color indexed="10"/>
      <name val="Arial"/>
      <family val="2"/>
    </font>
    <font>
      <b/>
      <i/>
      <sz val="9"/>
      <color indexed="8"/>
      <name val="Arial"/>
      <family val="2"/>
    </font>
    <font>
      <i/>
      <sz val="8"/>
      <name val="Arial"/>
      <family val="2"/>
    </font>
    <font>
      <b/>
      <i/>
      <sz val="8"/>
      <name val="Arial"/>
      <family val="2"/>
    </font>
    <font>
      <b/>
      <sz val="11"/>
      <name val="Tahoma"/>
      <family val="2"/>
    </font>
    <font>
      <i/>
      <sz val="10"/>
      <name val="Arial"/>
      <family val="2"/>
    </font>
    <font>
      <b/>
      <sz val="9"/>
      <color indexed="10"/>
      <name val="Arial"/>
      <family val="2"/>
    </font>
    <font>
      <b/>
      <sz val="9"/>
      <color rgb="FFFF0000"/>
      <name val="Arial"/>
      <family val="2"/>
    </font>
    <font>
      <b/>
      <sz val="11"/>
      <color theme="1"/>
      <name val="Calibri"/>
      <family val="2"/>
    </font>
    <font>
      <b/>
      <sz val="11"/>
      <color theme="3"/>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5" tint="0.7999799847602844"/>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medium"/>
      <top style="medium"/>
      <bottom style="medium"/>
    </border>
    <border>
      <left style="medium"/>
      <right style="medium"/>
      <top style="medium"/>
      <bottom style="thin"/>
    </border>
    <border>
      <left style="medium"/>
      <right style="medium"/>
      <top style="thin"/>
      <bottom style="thin"/>
    </border>
    <border>
      <left/>
      <right style="medium"/>
      <top style="medium"/>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medium"/>
      <bottom/>
    </border>
    <border>
      <left style="medium"/>
      <right style="medium"/>
      <top/>
      <bottom style="medium"/>
    </border>
    <border>
      <left/>
      <right style="medium"/>
      <top style="medium"/>
      <bottom style="medium"/>
    </border>
    <border>
      <left style="thin"/>
      <right style="thin"/>
      <top style="thin"/>
      <bottom style="thin"/>
    </border>
    <border>
      <left style="medium"/>
      <right style="thin"/>
      <top style="thin"/>
      <bottom style="thin"/>
    </border>
    <border>
      <left/>
      <right style="thin"/>
      <top style="thin"/>
      <bottom style="thin"/>
    </border>
    <border>
      <left style="thin"/>
      <right style="thin"/>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color indexed="63"/>
      </left>
      <right>
        <color indexed="63"/>
      </right>
      <top style="thin"/>
      <bottom style="thin"/>
    </border>
    <border>
      <left style="thin"/>
      <right/>
      <top/>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bottom/>
    </border>
    <border>
      <left style="thin"/>
      <right style="thin"/>
      <top/>
      <bottom style="thin"/>
    </border>
    <border>
      <left style="medium"/>
      <right/>
      <top style="medium"/>
      <bottom/>
    </border>
    <border>
      <left/>
      <right/>
      <top style="medium"/>
      <bottom/>
    </border>
    <border>
      <left/>
      <right style="medium"/>
      <top style="medium"/>
      <bottom/>
    </border>
    <border>
      <left/>
      <right style="thin"/>
      <top style="thin"/>
      <bottom/>
    </border>
    <border>
      <left>
        <color indexed="63"/>
      </left>
      <right style="thin"/>
      <top>
        <color indexed="63"/>
      </top>
      <bottom>
        <color indexed="63"/>
      </bottom>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19" fillId="0" borderId="4"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173" fontId="0" fillId="0" borderId="0" applyFont="0" applyFill="0" applyBorder="0" applyAlignment="0" applyProtection="0"/>
    <xf numFmtId="174" fontId="10" fillId="0" borderId="0">
      <alignment/>
      <protection locked="0"/>
    </xf>
    <xf numFmtId="174" fontId="10" fillId="0" borderId="0">
      <alignment/>
      <protection locked="0"/>
    </xf>
    <xf numFmtId="174" fontId="10" fillId="0" borderId="0">
      <alignment/>
      <protection locked="0"/>
    </xf>
    <xf numFmtId="174" fontId="11" fillId="0" borderId="0">
      <alignment/>
      <protection locked="0"/>
    </xf>
    <xf numFmtId="174" fontId="12" fillId="0" borderId="0">
      <alignment/>
      <protection locked="0"/>
    </xf>
    <xf numFmtId="174" fontId="11" fillId="0" borderId="0">
      <alignment/>
      <protection locked="0"/>
    </xf>
    <xf numFmtId="174" fontId="12" fillId="0" borderId="0">
      <alignment/>
      <protection locked="0"/>
    </xf>
    <xf numFmtId="0" fontId="13" fillId="3"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23" borderId="5" applyNumberFormat="0" applyFont="0" applyAlignment="0" applyProtection="0"/>
    <xf numFmtId="9" fontId="0" fillId="0" borderId="0" applyFont="0" applyFill="0" applyBorder="0" applyAlignment="0" applyProtection="0"/>
    <xf numFmtId="0" fontId="15" fillId="16"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7" applyNumberFormat="0" applyFill="0" applyAlignment="0" applyProtection="0"/>
    <xf numFmtId="0" fontId="8" fillId="0" borderId="8" applyNumberFormat="0" applyFill="0" applyAlignment="0" applyProtection="0"/>
    <xf numFmtId="0" fontId="21" fillId="0" borderId="9" applyNumberFormat="0" applyFill="0" applyAlignment="0" applyProtection="0"/>
  </cellStyleXfs>
  <cellXfs count="426">
    <xf numFmtId="0" fontId="0" fillId="0" borderId="0" xfId="0" applyAlignment="1">
      <alignment/>
    </xf>
    <xf numFmtId="0" fontId="24" fillId="24" borderId="10" xfId="0" applyFont="1" applyFill="1" applyBorder="1" applyAlignment="1">
      <alignment/>
    </xf>
    <xf numFmtId="176" fontId="24" fillId="24" borderId="10" xfId="55" applyNumberFormat="1" applyFont="1" applyFill="1" applyBorder="1" applyAlignment="1">
      <alignment/>
    </xf>
    <xf numFmtId="176" fontId="0" fillId="24" borderId="0" xfId="55" applyNumberFormat="1" applyFont="1" applyFill="1" applyAlignment="1">
      <alignment/>
    </xf>
    <xf numFmtId="0" fontId="0" fillId="24" borderId="0" xfId="0" applyFill="1" applyAlignment="1">
      <alignment/>
    </xf>
    <xf numFmtId="0" fontId="24" fillId="24" borderId="11" xfId="0" applyFont="1" applyFill="1" applyBorder="1" applyAlignment="1">
      <alignment/>
    </xf>
    <xf numFmtId="43" fontId="0" fillId="24" borderId="0" xfId="55" applyFont="1" applyFill="1" applyAlignment="1">
      <alignment/>
    </xf>
    <xf numFmtId="0" fontId="22" fillId="24" borderId="12" xfId="0" applyFont="1" applyFill="1" applyBorder="1" applyAlignment="1">
      <alignment/>
    </xf>
    <xf numFmtId="3" fontId="25" fillId="24" borderId="13" xfId="0" applyNumberFormat="1" applyFont="1" applyFill="1" applyBorder="1" applyAlignment="1" applyProtection="1">
      <alignment/>
      <protection locked="0"/>
    </xf>
    <xf numFmtId="176" fontId="0" fillId="24" borderId="14" xfId="55" applyNumberFormat="1" applyFont="1" applyFill="1" applyBorder="1" applyAlignment="1">
      <alignment/>
    </xf>
    <xf numFmtId="0" fontId="0" fillId="24" borderId="12" xfId="0" applyFill="1" applyBorder="1" applyAlignment="1">
      <alignment/>
    </xf>
    <xf numFmtId="0" fontId="24" fillId="24" borderId="15" xfId="0" applyFont="1" applyFill="1" applyBorder="1" applyAlignment="1">
      <alignment horizontal="justify" vertical="justify" wrapText="1"/>
    </xf>
    <xf numFmtId="176" fontId="24" fillId="24" borderId="16" xfId="55" applyNumberFormat="1" applyFont="1" applyFill="1" applyBorder="1" applyAlignment="1">
      <alignment/>
    </xf>
    <xf numFmtId="0" fontId="0" fillId="24" borderId="17" xfId="0" applyFill="1" applyBorder="1" applyAlignment="1">
      <alignment/>
    </xf>
    <xf numFmtId="177" fontId="0" fillId="24" borderId="17" xfId="55" applyNumberFormat="1" applyFont="1" applyFill="1" applyBorder="1" applyAlignment="1">
      <alignment/>
    </xf>
    <xf numFmtId="0" fontId="0" fillId="24" borderId="18" xfId="0" applyFill="1" applyBorder="1" applyAlignment="1">
      <alignment/>
    </xf>
    <xf numFmtId="176" fontId="0" fillId="24" borderId="18" xfId="55" applyNumberFormat="1" applyFont="1" applyFill="1" applyBorder="1" applyAlignment="1">
      <alignment/>
    </xf>
    <xf numFmtId="176" fontId="0" fillId="24" borderId="17" xfId="55" applyNumberFormat="1" applyFont="1" applyFill="1" applyBorder="1" applyAlignment="1">
      <alignment/>
    </xf>
    <xf numFmtId="0" fontId="24" fillId="24" borderId="10" xfId="0" applyFont="1" applyFill="1" applyBorder="1" applyAlignment="1">
      <alignment horizontal="justify" vertical="justify" wrapText="1"/>
    </xf>
    <xf numFmtId="176" fontId="24" fillId="24" borderId="19" xfId="55" applyNumberFormat="1" applyFont="1" applyFill="1" applyBorder="1" applyAlignment="1">
      <alignment/>
    </xf>
    <xf numFmtId="3" fontId="0" fillId="24" borderId="0" xfId="0" applyNumberFormat="1" applyFill="1" applyAlignment="1">
      <alignment/>
    </xf>
    <xf numFmtId="176" fontId="0" fillId="24" borderId="0" xfId="0" applyNumberFormat="1" applyFill="1" applyAlignment="1">
      <alignment/>
    </xf>
    <xf numFmtId="0" fontId="0" fillId="24" borderId="10" xfId="0" applyFill="1" applyBorder="1" applyAlignment="1">
      <alignment/>
    </xf>
    <xf numFmtId="10" fontId="23" fillId="24" borderId="10" xfId="67" applyNumberFormat="1" applyFont="1" applyFill="1" applyBorder="1" applyAlignment="1" applyProtection="1">
      <alignment horizontal="right" wrapText="1"/>
      <protection locked="0"/>
    </xf>
    <xf numFmtId="0" fontId="27" fillId="24" borderId="20" xfId="0" applyFont="1" applyFill="1" applyBorder="1" applyAlignment="1" applyProtection="1">
      <alignment horizontal="left" wrapText="1"/>
      <protection/>
    </xf>
    <xf numFmtId="0" fontId="27" fillId="24" borderId="20" xfId="0" applyFont="1" applyFill="1" applyBorder="1" applyAlignment="1" applyProtection="1">
      <alignment horizontal="center" vertical="center" wrapText="1"/>
      <protection/>
    </xf>
    <xf numFmtId="175" fontId="27" fillId="24" borderId="20" xfId="55" applyNumberFormat="1" applyFont="1" applyFill="1" applyBorder="1" applyAlignment="1" applyProtection="1">
      <alignment horizontal="center" vertical="center" wrapText="1"/>
      <protection locked="0"/>
    </xf>
    <xf numFmtId="3" fontId="27" fillId="24" borderId="20" xfId="55" applyNumberFormat="1" applyFont="1" applyFill="1" applyBorder="1" applyAlignment="1" applyProtection="1">
      <alignment horizontal="center" wrapText="1"/>
      <protection locked="0"/>
    </xf>
    <xf numFmtId="0" fontId="28" fillId="24" borderId="0" xfId="0" applyFont="1" applyFill="1" applyAlignment="1" applyProtection="1">
      <alignment vertical="center" wrapText="1"/>
      <protection locked="0"/>
    </xf>
    <xf numFmtId="0" fontId="27" fillId="24" borderId="20" xfId="0" applyFont="1" applyFill="1" applyBorder="1" applyAlignment="1" applyProtection="1">
      <alignment horizontal="justify" vertical="justify" wrapText="1"/>
      <protection/>
    </xf>
    <xf numFmtId="175" fontId="27" fillId="24" borderId="20" xfId="55" applyNumberFormat="1" applyFont="1" applyFill="1" applyBorder="1" applyAlignment="1" applyProtection="1">
      <alignment wrapText="1"/>
      <protection locked="0"/>
    </xf>
    <xf numFmtId="3" fontId="27" fillId="24" borderId="20" xfId="55" applyNumberFormat="1" applyFont="1" applyFill="1" applyBorder="1" applyAlignment="1" applyProtection="1">
      <alignment horizontal="right" wrapText="1"/>
      <protection locked="0"/>
    </xf>
    <xf numFmtId="0" fontId="27" fillId="24" borderId="0" xfId="0" applyFont="1" applyFill="1" applyAlignment="1" applyProtection="1">
      <alignment wrapText="1"/>
      <protection locked="0"/>
    </xf>
    <xf numFmtId="0" fontId="28" fillId="24" borderId="20" xfId="0" applyFont="1" applyFill="1" applyBorder="1" applyAlignment="1" applyProtection="1">
      <alignment horizontal="left" wrapText="1"/>
      <protection/>
    </xf>
    <xf numFmtId="0" fontId="28" fillId="24" borderId="20" xfId="0" applyFont="1" applyFill="1" applyBorder="1" applyAlignment="1" applyProtection="1">
      <alignment horizontal="justify" vertical="justify" wrapText="1"/>
      <protection/>
    </xf>
    <xf numFmtId="175" fontId="28" fillId="24" borderId="20" xfId="55" applyNumberFormat="1" applyFont="1" applyFill="1" applyBorder="1" applyAlignment="1" applyProtection="1">
      <alignment horizontal="center" vertical="center" wrapText="1"/>
      <protection locked="0"/>
    </xf>
    <xf numFmtId="3" fontId="28" fillId="24" borderId="20" xfId="55" applyNumberFormat="1" applyFont="1" applyFill="1" applyBorder="1" applyAlignment="1" applyProtection="1">
      <alignment horizontal="right" wrapText="1"/>
      <protection locked="0"/>
    </xf>
    <xf numFmtId="43" fontId="28" fillId="24" borderId="0" xfId="55" applyFont="1" applyFill="1" applyAlignment="1" applyProtection="1">
      <alignment wrapText="1"/>
      <protection locked="0"/>
    </xf>
    <xf numFmtId="0" fontId="28" fillId="24" borderId="0" xfId="0" applyFont="1" applyFill="1" applyAlignment="1" applyProtection="1">
      <alignment wrapText="1"/>
      <protection locked="0"/>
    </xf>
    <xf numFmtId="175" fontId="28" fillId="24" borderId="20" xfId="55" applyNumberFormat="1" applyFont="1" applyFill="1" applyBorder="1" applyAlignment="1">
      <alignment horizontal="right" wrapText="1"/>
    </xf>
    <xf numFmtId="3" fontId="28" fillId="24" borderId="20" xfId="55" applyNumberFormat="1" applyFont="1" applyFill="1" applyBorder="1" applyAlignment="1">
      <alignment horizontal="right" wrapText="1"/>
    </xf>
    <xf numFmtId="175" fontId="28" fillId="24" borderId="20" xfId="55" applyNumberFormat="1" applyFont="1" applyFill="1" applyBorder="1" applyAlignment="1" applyProtection="1">
      <alignment wrapText="1"/>
      <protection locked="0"/>
    </xf>
    <xf numFmtId="0" fontId="28" fillId="24" borderId="20" xfId="0" applyFont="1" applyFill="1" applyBorder="1" applyAlignment="1" applyProtection="1">
      <alignment wrapText="1"/>
      <protection locked="0"/>
    </xf>
    <xf numFmtId="0" fontId="28" fillId="24" borderId="20" xfId="65" applyFont="1" applyFill="1" applyBorder="1" applyAlignment="1">
      <alignment horizontal="justify" vertical="justify" wrapText="1"/>
      <protection/>
    </xf>
    <xf numFmtId="175" fontId="27" fillId="24" borderId="20" xfId="55" applyNumberFormat="1" applyFont="1" applyFill="1" applyBorder="1" applyAlignment="1">
      <alignment horizontal="right" wrapText="1"/>
    </xf>
    <xf numFmtId="0" fontId="28" fillId="24" borderId="0" xfId="0" applyFont="1" applyFill="1" applyAlignment="1" applyProtection="1">
      <alignment horizontal="left" wrapText="1"/>
      <protection locked="0"/>
    </xf>
    <xf numFmtId="0" fontId="28" fillId="24" borderId="0" xfId="0" applyFont="1" applyFill="1" applyAlignment="1" applyProtection="1">
      <alignment horizontal="justify" vertical="justify" wrapText="1"/>
      <protection locked="0"/>
    </xf>
    <xf numFmtId="175" fontId="28" fillId="24" borderId="0" xfId="55" applyNumberFormat="1" applyFont="1" applyFill="1" applyAlignment="1" applyProtection="1">
      <alignment wrapText="1"/>
      <protection locked="0"/>
    </xf>
    <xf numFmtId="3" fontId="28" fillId="24" borderId="0" xfId="55" applyNumberFormat="1" applyFont="1" applyFill="1" applyAlignment="1" applyProtection="1">
      <alignment horizontal="right" wrapText="1"/>
      <protection locked="0"/>
    </xf>
    <xf numFmtId="0" fontId="27" fillId="24" borderId="0" xfId="0" applyFont="1" applyFill="1" applyAlignment="1" applyProtection="1">
      <alignment horizontal="justify" vertical="justify" wrapText="1"/>
      <protection locked="0"/>
    </xf>
    <xf numFmtId="0" fontId="28" fillId="24" borderId="0" xfId="0" applyFont="1" applyFill="1" applyAlignment="1" applyProtection="1">
      <alignment horizontal="left" vertical="top" wrapText="1"/>
      <protection locked="0"/>
    </xf>
    <xf numFmtId="0" fontId="24" fillId="24" borderId="20" xfId="0" applyFont="1" applyFill="1" applyBorder="1" applyAlignment="1" applyProtection="1">
      <alignment horizontal="left" wrapText="1"/>
      <protection/>
    </xf>
    <xf numFmtId="0" fontId="27" fillId="24" borderId="20" xfId="0" applyFont="1" applyFill="1" applyBorder="1" applyAlignment="1">
      <alignment horizontal="center" wrapText="1"/>
    </xf>
    <xf numFmtId="0" fontId="27" fillId="24" borderId="20" xfId="0" applyFont="1" applyFill="1" applyBorder="1" applyAlignment="1">
      <alignment horizontal="center" vertical="center" wrapText="1"/>
    </xf>
    <xf numFmtId="3" fontId="27" fillId="24" borderId="20" xfId="55" applyNumberFormat="1" applyFont="1" applyFill="1" applyBorder="1" applyAlignment="1">
      <alignment horizontal="center" wrapText="1"/>
    </xf>
    <xf numFmtId="175" fontId="28" fillId="24" borderId="20" xfId="55" applyNumberFormat="1" applyFont="1" applyFill="1" applyBorder="1" applyAlignment="1">
      <alignment wrapText="1"/>
    </xf>
    <xf numFmtId="0" fontId="28" fillId="24" borderId="0" xfId="0" applyFont="1" applyFill="1" applyAlignment="1">
      <alignment wrapText="1"/>
    </xf>
    <xf numFmtId="0" fontId="28" fillId="24" borderId="20" xfId="0" applyFont="1" applyFill="1" applyBorder="1" applyAlignment="1">
      <alignment horizontal="left" wrapText="1"/>
    </xf>
    <xf numFmtId="0" fontId="27" fillId="24" borderId="20" xfId="0" applyFont="1" applyFill="1" applyBorder="1" applyAlignment="1">
      <alignment horizontal="justify" vertical="justify" wrapText="1"/>
    </xf>
    <xf numFmtId="3" fontId="27" fillId="24" borderId="20" xfId="55" applyNumberFormat="1" applyFont="1" applyFill="1" applyBorder="1" applyAlignment="1">
      <alignment horizontal="right" wrapText="1"/>
    </xf>
    <xf numFmtId="175" fontId="28" fillId="24" borderId="20" xfId="55" applyNumberFormat="1" applyFont="1" applyFill="1" applyBorder="1" applyAlignment="1">
      <alignment/>
    </xf>
    <xf numFmtId="0" fontId="28" fillId="24" borderId="0" xfId="0" applyFont="1" applyFill="1" applyAlignment="1">
      <alignment/>
    </xf>
    <xf numFmtId="3" fontId="28" fillId="24" borderId="0" xfId="0" applyNumberFormat="1" applyFont="1" applyFill="1" applyAlignment="1">
      <alignment/>
    </xf>
    <xf numFmtId="175" fontId="28" fillId="24" borderId="0" xfId="55" applyNumberFormat="1" applyFont="1" applyFill="1" applyAlignment="1">
      <alignment/>
    </xf>
    <xf numFmtId="0" fontId="27" fillId="24" borderId="21" xfId="0" applyFont="1" applyFill="1" applyBorder="1" applyAlignment="1">
      <alignment horizontal="left" wrapText="1"/>
    </xf>
    <xf numFmtId="175" fontId="27" fillId="24" borderId="0" xfId="55" applyNumberFormat="1" applyFont="1" applyFill="1" applyAlignment="1">
      <alignment/>
    </xf>
    <xf numFmtId="0" fontId="27" fillId="24" borderId="0" xfId="0" applyFont="1" applyFill="1" applyAlignment="1">
      <alignment/>
    </xf>
    <xf numFmtId="0" fontId="28" fillId="24" borderId="21" xfId="0" applyFont="1" applyFill="1" applyBorder="1" applyAlignment="1">
      <alignment horizontal="left" wrapText="1"/>
    </xf>
    <xf numFmtId="0" fontId="28" fillId="24" borderId="20" xfId="0" applyFont="1" applyFill="1" applyBorder="1" applyAlignment="1">
      <alignment horizontal="justify" vertical="justify" wrapText="1"/>
    </xf>
    <xf numFmtId="0" fontId="27" fillId="24" borderId="20" xfId="0" applyFont="1" applyFill="1" applyBorder="1" applyAlignment="1">
      <alignment horizontal="left" wrapText="1"/>
    </xf>
    <xf numFmtId="176" fontId="28" fillId="24" borderId="20" xfId="58" applyNumberFormat="1" applyFont="1" applyFill="1" applyBorder="1" applyAlignment="1">
      <alignment/>
    </xf>
    <xf numFmtId="0" fontId="25" fillId="24" borderId="1" xfId="0" applyFont="1" applyFill="1" applyBorder="1" applyAlignment="1">
      <alignment horizontal="justify" vertical="justify" wrapText="1"/>
    </xf>
    <xf numFmtId="0" fontId="29" fillId="24" borderId="1" xfId="0" applyFont="1" applyFill="1" applyBorder="1" applyAlignment="1">
      <alignment horizontal="justify" vertical="justify" wrapText="1"/>
    </xf>
    <xf numFmtId="3" fontId="25" fillId="24" borderId="20" xfId="55" applyNumberFormat="1" applyFont="1" applyFill="1" applyBorder="1" applyAlignment="1">
      <alignment horizontal="right" wrapText="1"/>
    </xf>
    <xf numFmtId="0" fontId="27" fillId="24" borderId="20" xfId="65" applyFont="1" applyFill="1" applyBorder="1" applyAlignment="1">
      <alignment horizontal="justify" vertical="justify" wrapText="1"/>
      <protection/>
    </xf>
    <xf numFmtId="0" fontId="25" fillId="24" borderId="20" xfId="0" applyFont="1" applyFill="1" applyBorder="1" applyAlignment="1">
      <alignment horizontal="justify" vertical="justify" wrapText="1"/>
    </xf>
    <xf numFmtId="0" fontId="29" fillId="24" borderId="20" xfId="0" applyFont="1" applyFill="1" applyBorder="1" applyAlignment="1">
      <alignment horizontal="justify" vertical="justify" wrapText="1"/>
    </xf>
    <xf numFmtId="0" fontId="28" fillId="24" borderId="0" xfId="0" applyFont="1" applyFill="1" applyAlignment="1">
      <alignment horizontal="left" wrapText="1"/>
    </xf>
    <xf numFmtId="3" fontId="28" fillId="24" borderId="0" xfId="55" applyNumberFormat="1" applyFont="1" applyFill="1" applyAlignment="1">
      <alignment horizontal="right" wrapText="1"/>
    </xf>
    <xf numFmtId="172" fontId="30" fillId="24" borderId="0" xfId="0" applyNumberFormat="1" applyFont="1" applyFill="1" applyAlignment="1">
      <alignment/>
    </xf>
    <xf numFmtId="172" fontId="0" fillId="24" borderId="0" xfId="0" applyNumberFormat="1" applyFill="1" applyAlignment="1">
      <alignment/>
    </xf>
    <xf numFmtId="172" fontId="0" fillId="24" borderId="0" xfId="0" applyNumberFormat="1" applyFont="1" applyFill="1" applyAlignment="1">
      <alignment/>
    </xf>
    <xf numFmtId="176" fontId="0" fillId="24" borderId="0" xfId="0" applyNumberFormat="1" applyFont="1" applyFill="1" applyAlignment="1">
      <alignment/>
    </xf>
    <xf numFmtId="172" fontId="31" fillId="24" borderId="0" xfId="0" applyNumberFormat="1" applyFont="1" applyFill="1" applyAlignment="1">
      <alignment/>
    </xf>
    <xf numFmtId="172" fontId="24" fillId="24" borderId="0" xfId="0" applyNumberFormat="1" applyFont="1" applyFill="1" applyAlignment="1">
      <alignment/>
    </xf>
    <xf numFmtId="172" fontId="0" fillId="24" borderId="0" xfId="0" applyNumberFormat="1" applyFont="1" applyFill="1" applyAlignment="1">
      <alignment/>
    </xf>
    <xf numFmtId="176" fontId="26" fillId="24" borderId="0" xfId="55" applyNumberFormat="1" applyFont="1" applyFill="1" applyAlignment="1">
      <alignment/>
    </xf>
    <xf numFmtId="10" fontId="0" fillId="24" borderId="0" xfId="67" applyNumberFormat="1" applyFont="1" applyFill="1" applyAlignment="1">
      <alignment/>
    </xf>
    <xf numFmtId="0" fontId="27" fillId="24" borderId="0" xfId="0" applyFont="1" applyFill="1" applyBorder="1" applyAlignment="1">
      <alignment/>
    </xf>
    <xf numFmtId="0" fontId="24" fillId="24" borderId="0" xfId="0" applyFont="1" applyFill="1" applyAlignment="1">
      <alignment/>
    </xf>
    <xf numFmtId="0" fontId="29" fillId="24" borderId="20" xfId="0" applyFont="1" applyFill="1" applyBorder="1" applyAlignment="1">
      <alignment wrapText="1"/>
    </xf>
    <xf numFmtId="0" fontId="27" fillId="24" borderId="20" xfId="0" applyFont="1" applyFill="1" applyBorder="1" applyAlignment="1">
      <alignment/>
    </xf>
    <xf numFmtId="3" fontId="27" fillId="24" borderId="20" xfId="0" applyNumberFormat="1" applyFont="1" applyFill="1" applyBorder="1" applyAlignment="1">
      <alignment/>
    </xf>
    <xf numFmtId="0" fontId="33" fillId="24" borderId="0" xfId="0" applyFont="1" applyFill="1" applyAlignment="1">
      <alignment/>
    </xf>
    <xf numFmtId="4" fontId="34" fillId="24" borderId="20" xfId="65" applyNumberFormat="1" applyFont="1" applyFill="1" applyBorder="1" applyAlignment="1">
      <alignment horizontal="right" wrapText="1"/>
      <protection/>
    </xf>
    <xf numFmtId="180" fontId="34" fillId="24" borderId="20" xfId="57" applyNumberFormat="1" applyFont="1" applyFill="1" applyBorder="1" applyAlignment="1">
      <alignment horizontal="right" wrapText="1"/>
    </xf>
    <xf numFmtId="0" fontId="36" fillId="24" borderId="0" xfId="0" applyFont="1" applyFill="1" applyAlignment="1">
      <alignment/>
    </xf>
    <xf numFmtId="0" fontId="37" fillId="24" borderId="0" xfId="0" applyFont="1" applyFill="1" applyAlignment="1">
      <alignment/>
    </xf>
    <xf numFmtId="0" fontId="37" fillId="24" borderId="0" xfId="0" applyFont="1" applyFill="1" applyAlignment="1">
      <alignment horizontal="justify" vertical="justify" wrapText="1"/>
    </xf>
    <xf numFmtId="0" fontId="0" fillId="24" borderId="0" xfId="0" applyFont="1" applyFill="1" applyAlignment="1">
      <alignment/>
    </xf>
    <xf numFmtId="175" fontId="37" fillId="24" borderId="0" xfId="0" applyNumberFormat="1" applyFont="1" applyFill="1" applyAlignment="1">
      <alignment/>
    </xf>
    <xf numFmtId="0" fontId="22" fillId="24" borderId="0" xfId="0" applyFont="1" applyFill="1" applyAlignment="1">
      <alignment/>
    </xf>
    <xf numFmtId="175" fontId="22" fillId="24" borderId="0" xfId="55" applyNumberFormat="1" applyFont="1" applyFill="1" applyAlignment="1">
      <alignment/>
    </xf>
    <xf numFmtId="175" fontId="22" fillId="24" borderId="22" xfId="55" applyNumberFormat="1" applyFont="1" applyFill="1" applyBorder="1" applyAlignment="1">
      <alignment/>
    </xf>
    <xf numFmtId="175" fontId="22" fillId="24" borderId="20" xfId="55" applyNumberFormat="1" applyFont="1" applyFill="1" applyBorder="1" applyAlignment="1">
      <alignment/>
    </xf>
    <xf numFmtId="175" fontId="26" fillId="24" borderId="20" xfId="55" applyNumberFormat="1" applyFont="1" applyFill="1" applyBorder="1" applyAlignment="1">
      <alignment/>
    </xf>
    <xf numFmtId="175" fontId="22" fillId="24" borderId="0" xfId="0" applyNumberFormat="1" applyFont="1" applyFill="1" applyAlignment="1">
      <alignment/>
    </xf>
    <xf numFmtId="0" fontId="36" fillId="24" borderId="0" xfId="0" applyFont="1" applyFill="1" applyAlignment="1">
      <alignment/>
    </xf>
    <xf numFmtId="0" fontId="37" fillId="24" borderId="0" xfId="0" applyFont="1" applyFill="1" applyAlignment="1">
      <alignment/>
    </xf>
    <xf numFmtId="4" fontId="0" fillId="24" borderId="0" xfId="63" applyNumberFormat="1" applyFont="1" applyFill="1">
      <alignment/>
      <protection/>
    </xf>
    <xf numFmtId="4" fontId="0" fillId="24" borderId="0" xfId="62" applyNumberFormat="1" applyFont="1" applyFill="1">
      <alignment/>
      <protection/>
    </xf>
    <xf numFmtId="178" fontId="37" fillId="24" borderId="0" xfId="67" applyNumberFormat="1" applyFont="1" applyFill="1" applyAlignment="1">
      <alignment/>
    </xf>
    <xf numFmtId="0" fontId="34" fillId="24" borderId="20" xfId="0" applyFont="1" applyFill="1" applyBorder="1" applyAlignment="1">
      <alignment horizontal="justify" vertical="justify" wrapText="1"/>
    </xf>
    <xf numFmtId="43" fontId="37" fillId="24" borderId="0" xfId="0" applyNumberFormat="1" applyFont="1" applyFill="1" applyAlignment="1">
      <alignment/>
    </xf>
    <xf numFmtId="0" fontId="39" fillId="24" borderId="20" xfId="0" applyFont="1" applyFill="1" applyBorder="1" applyAlignment="1">
      <alignment horizontal="justify" vertical="justify" wrapText="1"/>
    </xf>
    <xf numFmtId="4" fontId="34" fillId="24" borderId="1" xfId="0" applyNumberFormat="1" applyFont="1" applyFill="1" applyBorder="1" applyAlignment="1">
      <alignment horizontal="right" wrapText="1"/>
    </xf>
    <xf numFmtId="0" fontId="34" fillId="24" borderId="20" xfId="0" applyFont="1" applyFill="1" applyBorder="1" applyAlignment="1">
      <alignment/>
    </xf>
    <xf numFmtId="175" fontId="34" fillId="24" borderId="20" xfId="0" applyNumberFormat="1" applyFont="1" applyFill="1" applyBorder="1" applyAlignment="1">
      <alignment/>
    </xf>
    <xf numFmtId="175" fontId="34" fillId="24" borderId="0" xfId="0" applyNumberFormat="1" applyFont="1" applyFill="1" applyBorder="1" applyAlignment="1">
      <alignment/>
    </xf>
    <xf numFmtId="43" fontId="34" fillId="24" borderId="0" xfId="55" applyFont="1" applyFill="1" applyBorder="1" applyAlignment="1">
      <alignment/>
    </xf>
    <xf numFmtId="175" fontId="24" fillId="24" borderId="0" xfId="0" applyNumberFormat="1" applyFont="1" applyFill="1" applyAlignment="1">
      <alignment/>
    </xf>
    <xf numFmtId="180" fontId="26" fillId="24" borderId="0" xfId="0" applyNumberFormat="1" applyFont="1" applyFill="1" applyAlignment="1">
      <alignment horizontal="justify" vertical="justify"/>
    </xf>
    <xf numFmtId="175" fontId="0" fillId="24" borderId="0" xfId="0" applyNumberFormat="1" applyFill="1" applyAlignment="1">
      <alignment/>
    </xf>
    <xf numFmtId="0" fontId="36" fillId="24" borderId="20" xfId="0" applyFont="1" applyFill="1" applyBorder="1" applyAlignment="1">
      <alignment horizontal="center"/>
    </xf>
    <xf numFmtId="0" fontId="0" fillId="24" borderId="0" xfId="0" applyNumberFormat="1" applyFill="1" applyAlignment="1">
      <alignment/>
    </xf>
    <xf numFmtId="0" fontId="25" fillId="24" borderId="0" xfId="0" applyFont="1" applyFill="1" applyAlignment="1">
      <alignment/>
    </xf>
    <xf numFmtId="0" fontId="29" fillId="24" borderId="23" xfId="0" applyFont="1" applyFill="1" applyBorder="1" applyAlignment="1">
      <alignment horizontal="center" vertical="justify" wrapText="1"/>
    </xf>
    <xf numFmtId="0" fontId="29" fillId="24" borderId="20" xfId="0" applyFont="1" applyFill="1" applyBorder="1" applyAlignment="1">
      <alignment horizontal="center" vertical="justify" wrapText="1"/>
    </xf>
    <xf numFmtId="0" fontId="39" fillId="24" borderId="20" xfId="0" applyFont="1" applyFill="1" applyBorder="1" applyAlignment="1">
      <alignment horizontal="center" vertical="justify" wrapText="1"/>
    </xf>
    <xf numFmtId="0" fontId="42" fillId="24" borderId="0" xfId="0" applyFont="1" applyFill="1" applyAlignment="1">
      <alignment/>
    </xf>
    <xf numFmtId="0" fontId="0" fillId="24" borderId="20" xfId="0" applyFont="1" applyFill="1" applyBorder="1" applyAlignment="1">
      <alignment horizontal="center"/>
    </xf>
    <xf numFmtId="43" fontId="0" fillId="24" borderId="20" xfId="55" applyFont="1" applyFill="1" applyBorder="1" applyAlignment="1">
      <alignment horizontal="center"/>
    </xf>
    <xf numFmtId="4" fontId="0" fillId="24" borderId="20" xfId="64" applyNumberFormat="1" applyFont="1" applyFill="1" applyBorder="1" applyAlignment="1">
      <alignment horizontal="center"/>
      <protection/>
    </xf>
    <xf numFmtId="175" fontId="0" fillId="24" borderId="20" xfId="55" applyNumberFormat="1" applyFont="1" applyFill="1" applyBorder="1" applyAlignment="1">
      <alignment/>
    </xf>
    <xf numFmtId="0" fontId="26" fillId="24" borderId="20" xfId="0" applyFont="1" applyFill="1" applyBorder="1" applyAlignment="1">
      <alignment vertical="center"/>
    </xf>
    <xf numFmtId="175" fontId="26" fillId="24" borderId="20" xfId="55" applyNumberFormat="1" applyFont="1" applyFill="1" applyBorder="1" applyAlignment="1">
      <alignment vertical="center"/>
    </xf>
    <xf numFmtId="0" fontId="22" fillId="24" borderId="20" xfId="0" applyFont="1" applyFill="1" applyBorder="1" applyAlignment="1">
      <alignment vertical="center"/>
    </xf>
    <xf numFmtId="179" fontId="22" fillId="24" borderId="20" xfId="59" applyNumberFormat="1" applyFont="1" applyFill="1" applyBorder="1" applyAlignment="1">
      <alignment vertical="center"/>
    </xf>
    <xf numFmtId="175" fontId="22" fillId="24" borderId="20" xfId="55" applyNumberFormat="1" applyFont="1" applyFill="1" applyBorder="1" applyAlignment="1">
      <alignment vertical="center"/>
    </xf>
    <xf numFmtId="16" fontId="22" fillId="24" borderId="20" xfId="0" applyNumberFormat="1" applyFont="1" applyFill="1" applyBorder="1" applyAlignment="1">
      <alignment vertical="center"/>
    </xf>
    <xf numFmtId="16" fontId="22" fillId="24" borderId="0" xfId="0" applyNumberFormat="1" applyFont="1" applyFill="1" applyBorder="1" applyAlignment="1">
      <alignment vertical="center"/>
    </xf>
    <xf numFmtId="0" fontId="22" fillId="24" borderId="0" xfId="0" applyFont="1" applyFill="1" applyBorder="1" applyAlignment="1">
      <alignment horizontal="justify" vertical="center" wrapText="1"/>
    </xf>
    <xf numFmtId="175" fontId="22" fillId="24" borderId="0" xfId="55" applyNumberFormat="1" applyFont="1" applyFill="1" applyBorder="1" applyAlignment="1">
      <alignment vertical="center"/>
    </xf>
    <xf numFmtId="16" fontId="25" fillId="24" borderId="0" xfId="0" applyNumberFormat="1" applyFont="1" applyFill="1" applyBorder="1" applyAlignment="1">
      <alignment vertical="center"/>
    </xf>
    <xf numFmtId="0" fontId="22" fillId="24" borderId="0" xfId="0" applyFont="1" applyFill="1" applyBorder="1" applyAlignment="1">
      <alignment vertical="center"/>
    </xf>
    <xf numFmtId="0" fontId="28" fillId="24" borderId="0" xfId="0" applyFont="1" applyFill="1" applyBorder="1" applyAlignment="1">
      <alignment horizontal="justify" vertical="justify" wrapText="1"/>
    </xf>
    <xf numFmtId="3" fontId="28" fillId="24" borderId="0" xfId="55" applyNumberFormat="1" applyFont="1" applyFill="1" applyBorder="1" applyAlignment="1">
      <alignment horizontal="right" wrapText="1"/>
    </xf>
    <xf numFmtId="0" fontId="28" fillId="24" borderId="23" xfId="0" applyFont="1" applyFill="1" applyBorder="1" applyAlignment="1">
      <alignment horizontal="left" wrapText="1"/>
    </xf>
    <xf numFmtId="0" fontId="28" fillId="24" borderId="23" xfId="0" applyFont="1" applyFill="1" applyBorder="1" applyAlignment="1">
      <alignment horizontal="justify" vertical="justify" wrapText="1"/>
    </xf>
    <xf numFmtId="3" fontId="28" fillId="24" borderId="23" xfId="55" applyNumberFormat="1" applyFont="1" applyFill="1" applyBorder="1" applyAlignment="1">
      <alignment horizontal="right" wrapText="1"/>
    </xf>
    <xf numFmtId="0" fontId="28" fillId="0" borderId="0" xfId="0" applyFont="1" applyFill="1" applyAlignment="1">
      <alignment/>
    </xf>
    <xf numFmtId="3" fontId="27" fillId="0" borderId="20" xfId="55" applyNumberFormat="1" applyFont="1" applyFill="1" applyBorder="1" applyAlignment="1" applyProtection="1">
      <alignment horizontal="center" wrapText="1"/>
      <protection locked="0"/>
    </xf>
    <xf numFmtId="3" fontId="27" fillId="0" borderId="20" xfId="55" applyNumberFormat="1" applyFont="1" applyFill="1" applyBorder="1" applyAlignment="1" applyProtection="1">
      <alignment horizontal="right" wrapText="1"/>
      <protection locked="0"/>
    </xf>
    <xf numFmtId="3" fontId="28" fillId="0" borderId="20" xfId="55" applyNumberFormat="1" applyFont="1" applyFill="1" applyBorder="1" applyAlignment="1" applyProtection="1">
      <alignment horizontal="right" wrapText="1"/>
      <protection locked="0"/>
    </xf>
    <xf numFmtId="3" fontId="28" fillId="0" borderId="20" xfId="55" applyNumberFormat="1" applyFont="1" applyFill="1" applyBorder="1" applyAlignment="1">
      <alignment horizontal="right" wrapText="1"/>
    </xf>
    <xf numFmtId="3" fontId="28" fillId="0" borderId="0" xfId="55" applyNumberFormat="1" applyFont="1" applyFill="1" applyAlignment="1" applyProtection="1">
      <alignment horizontal="right" wrapText="1"/>
      <protection locked="0"/>
    </xf>
    <xf numFmtId="3" fontId="27" fillId="0" borderId="0" xfId="55" applyNumberFormat="1" applyFont="1" applyFill="1" applyAlignment="1" applyProtection="1">
      <alignment horizontal="right" wrapText="1"/>
      <protection locked="0"/>
    </xf>
    <xf numFmtId="175" fontId="28" fillId="0" borderId="20" xfId="55" applyNumberFormat="1" applyFont="1" applyFill="1" applyBorder="1" applyAlignment="1" applyProtection="1">
      <alignment horizontal="right" wrapText="1"/>
      <protection locked="0"/>
    </xf>
    <xf numFmtId="3" fontId="27" fillId="0" borderId="20" xfId="55" applyNumberFormat="1" applyFont="1" applyFill="1" applyBorder="1" applyAlignment="1">
      <alignment horizontal="center" wrapText="1"/>
    </xf>
    <xf numFmtId="3" fontId="27" fillId="0" borderId="20" xfId="55" applyNumberFormat="1" applyFont="1" applyFill="1" applyBorder="1" applyAlignment="1">
      <alignment horizontal="right" wrapText="1"/>
    </xf>
    <xf numFmtId="3" fontId="28" fillId="0" borderId="0" xfId="0" applyNumberFormat="1" applyFont="1" applyFill="1" applyAlignment="1">
      <alignment/>
    </xf>
    <xf numFmtId="3" fontId="25" fillId="0" borderId="20" xfId="55" applyNumberFormat="1" applyFont="1" applyFill="1" applyBorder="1" applyAlignment="1">
      <alignment horizontal="right" wrapText="1"/>
    </xf>
    <xf numFmtId="3" fontId="28" fillId="0" borderId="23" xfId="55" applyNumberFormat="1" applyFont="1" applyFill="1" applyBorder="1" applyAlignment="1">
      <alignment horizontal="right" wrapText="1"/>
    </xf>
    <xf numFmtId="3" fontId="27" fillId="0" borderId="20" xfId="0" applyNumberFormat="1" applyFont="1" applyFill="1" applyBorder="1" applyAlignment="1">
      <alignment/>
    </xf>
    <xf numFmtId="175" fontId="28" fillId="0" borderId="0" xfId="55" applyNumberFormat="1" applyFont="1" applyFill="1" applyAlignment="1">
      <alignment/>
    </xf>
    <xf numFmtId="3" fontId="28" fillId="0" borderId="0" xfId="55" applyNumberFormat="1" applyFont="1" applyFill="1" applyBorder="1" applyAlignment="1" applyProtection="1">
      <alignment horizontal="right" wrapText="1"/>
      <protection locked="0"/>
    </xf>
    <xf numFmtId="0" fontId="28" fillId="0" borderId="0" xfId="0" applyFont="1" applyFill="1" applyBorder="1" applyAlignment="1" applyProtection="1">
      <alignment horizontal="left" vertical="top" wrapText="1"/>
      <protection locked="0"/>
    </xf>
    <xf numFmtId="175" fontId="28" fillId="0" borderId="0" xfId="55" applyNumberFormat="1" applyFont="1" applyFill="1" applyBorder="1" applyAlignment="1" applyProtection="1">
      <alignment wrapText="1"/>
      <protection locked="0"/>
    </xf>
    <xf numFmtId="3" fontId="28" fillId="0" borderId="0" xfId="55" applyNumberFormat="1" applyFont="1" applyFill="1" applyBorder="1" applyAlignment="1">
      <alignment horizontal="right" wrapText="1"/>
    </xf>
    <xf numFmtId="0" fontId="27" fillId="0" borderId="0" xfId="0" applyFont="1" applyFill="1" applyBorder="1" applyAlignment="1" applyProtection="1">
      <alignment horizontal="left" wrapText="1"/>
      <protection/>
    </xf>
    <xf numFmtId="3" fontId="27" fillId="0" borderId="0" xfId="55" applyNumberFormat="1" applyFont="1" applyFill="1" applyBorder="1" applyAlignment="1" applyProtection="1">
      <alignment horizontal="right" wrapText="1"/>
      <protection locked="0"/>
    </xf>
    <xf numFmtId="3" fontId="28" fillId="0" borderId="0" xfId="0" applyNumberFormat="1" applyFont="1" applyFill="1" applyBorder="1" applyAlignment="1" applyProtection="1">
      <alignment horizontal="left" vertical="top" wrapText="1"/>
      <protection locked="0"/>
    </xf>
    <xf numFmtId="0" fontId="22" fillId="0" borderId="0" xfId="0" applyFont="1" applyFill="1" applyBorder="1" applyAlignment="1">
      <alignment/>
    </xf>
    <xf numFmtId="175" fontId="22" fillId="0" borderId="0" xfId="55" applyNumberFormat="1" applyFont="1" applyFill="1" applyBorder="1" applyAlignment="1">
      <alignment/>
    </xf>
    <xf numFmtId="0" fontId="28" fillId="0" borderId="0" xfId="0" applyFont="1" applyFill="1" applyBorder="1" applyAlignment="1" applyProtection="1">
      <alignment horizontal="center" vertical="top" wrapText="1"/>
      <protection locked="0"/>
    </xf>
    <xf numFmtId="0" fontId="0" fillId="0" borderId="0" xfId="0" applyFont="1" applyFill="1" applyBorder="1" applyAlignment="1">
      <alignment/>
    </xf>
    <xf numFmtId="175" fontId="26" fillId="0" borderId="0" xfId="55" applyNumberFormat="1" applyFont="1" applyFill="1" applyBorder="1" applyAlignment="1">
      <alignment/>
    </xf>
    <xf numFmtId="0" fontId="24" fillId="0" borderId="0" xfId="0" applyFont="1" applyFill="1" applyBorder="1" applyAlignment="1" applyProtection="1">
      <alignment horizontal="left" wrapText="1"/>
      <protection/>
    </xf>
    <xf numFmtId="175" fontId="22" fillId="0" borderId="0" xfId="0" applyNumberFormat="1" applyFont="1" applyFill="1" applyBorder="1" applyAlignment="1">
      <alignment/>
    </xf>
    <xf numFmtId="0" fontId="26" fillId="0" borderId="0" xfId="0" applyFont="1" applyFill="1" applyBorder="1" applyAlignment="1">
      <alignment vertical="center"/>
    </xf>
    <xf numFmtId="175" fontId="26" fillId="0" borderId="0" xfId="55" applyNumberFormat="1" applyFont="1" applyFill="1" applyBorder="1" applyAlignment="1">
      <alignment vertical="center"/>
    </xf>
    <xf numFmtId="0" fontId="22" fillId="0" borderId="0" xfId="0" applyFont="1" applyFill="1" applyBorder="1" applyAlignment="1">
      <alignment vertical="center"/>
    </xf>
    <xf numFmtId="179" fontId="22" fillId="0" borderId="0" xfId="59" applyNumberFormat="1" applyFont="1" applyFill="1" applyBorder="1" applyAlignment="1">
      <alignment vertical="center"/>
    </xf>
    <xf numFmtId="175" fontId="22" fillId="0" borderId="0" xfId="55" applyNumberFormat="1" applyFont="1" applyFill="1" applyBorder="1" applyAlignment="1">
      <alignment vertical="center"/>
    </xf>
    <xf numFmtId="16" fontId="22" fillId="0" borderId="0" xfId="0" applyNumberFormat="1" applyFont="1" applyFill="1" applyBorder="1" applyAlignment="1">
      <alignment vertical="center"/>
    </xf>
    <xf numFmtId="0" fontId="28" fillId="24" borderId="0" xfId="0" applyFont="1" applyFill="1" applyBorder="1" applyAlignment="1" applyProtection="1">
      <alignment horizontal="left" wrapText="1"/>
      <protection locked="0"/>
    </xf>
    <xf numFmtId="172" fontId="2" fillId="24" borderId="0" xfId="0" applyNumberFormat="1" applyFont="1" applyFill="1" applyAlignment="1">
      <alignment/>
    </xf>
    <xf numFmtId="172" fontId="0" fillId="24" borderId="0" xfId="0" applyNumberFormat="1" applyFill="1" applyBorder="1" applyAlignment="1">
      <alignment/>
    </xf>
    <xf numFmtId="176" fontId="0" fillId="24" borderId="0" xfId="0" applyNumberFormat="1" applyFill="1" applyBorder="1" applyAlignment="1">
      <alignment/>
    </xf>
    <xf numFmtId="172" fontId="30" fillId="24" borderId="24" xfId="0" applyNumberFormat="1" applyFont="1" applyFill="1" applyBorder="1" applyAlignment="1">
      <alignment/>
    </xf>
    <xf numFmtId="172" fontId="0" fillId="24" borderId="25" xfId="0" applyNumberFormat="1" applyFill="1" applyBorder="1" applyAlignment="1">
      <alignment/>
    </xf>
    <xf numFmtId="172" fontId="30" fillId="24" borderId="26" xfId="0" applyNumberFormat="1" applyFont="1" applyFill="1" applyBorder="1" applyAlignment="1">
      <alignment horizontal="justify" vertical="justify" wrapText="1"/>
    </xf>
    <xf numFmtId="172" fontId="30" fillId="24" borderId="27" xfId="0" applyNumberFormat="1" applyFont="1" applyFill="1" applyBorder="1" applyAlignment="1">
      <alignment horizontal="justify" vertical="justify" wrapText="1"/>
    </xf>
    <xf numFmtId="176" fontId="30" fillId="24" borderId="27" xfId="0" applyNumberFormat="1" applyFont="1" applyFill="1" applyBorder="1" applyAlignment="1">
      <alignment/>
    </xf>
    <xf numFmtId="9" fontId="0" fillId="24" borderId="28" xfId="67" applyFont="1" applyFill="1" applyBorder="1" applyAlignment="1">
      <alignment/>
    </xf>
    <xf numFmtId="172" fontId="30" fillId="24" borderId="29" xfId="0" applyNumberFormat="1" applyFont="1" applyFill="1" applyBorder="1" applyAlignment="1">
      <alignment/>
    </xf>
    <xf numFmtId="172" fontId="30" fillId="24" borderId="30" xfId="0" applyNumberFormat="1" applyFont="1" applyFill="1" applyBorder="1" applyAlignment="1">
      <alignment/>
    </xf>
    <xf numFmtId="172" fontId="30" fillId="24" borderId="22" xfId="0" applyNumberFormat="1" applyFont="1" applyFill="1" applyBorder="1" applyAlignment="1">
      <alignment/>
    </xf>
    <xf numFmtId="172" fontId="0" fillId="24" borderId="31" xfId="0" applyNumberFormat="1" applyFill="1" applyBorder="1" applyAlignment="1">
      <alignment/>
    </xf>
    <xf numFmtId="172" fontId="0" fillId="24" borderId="32" xfId="0" applyNumberFormat="1" applyFill="1" applyBorder="1" applyAlignment="1">
      <alignment/>
    </xf>
    <xf numFmtId="172" fontId="30" fillId="24" borderId="0" xfId="0" applyNumberFormat="1" applyFont="1" applyFill="1" applyBorder="1" applyAlignment="1">
      <alignment/>
    </xf>
    <xf numFmtId="172" fontId="0" fillId="24" borderId="33" xfId="0" applyNumberFormat="1" applyFont="1" applyFill="1" applyBorder="1" applyAlignment="1">
      <alignment/>
    </xf>
    <xf numFmtId="172" fontId="0" fillId="24" borderId="34" xfId="0" applyNumberFormat="1" applyFill="1" applyBorder="1" applyAlignment="1">
      <alignment/>
    </xf>
    <xf numFmtId="172" fontId="0" fillId="24" borderId="35" xfId="0" applyNumberFormat="1" applyFont="1" applyFill="1" applyBorder="1" applyAlignment="1">
      <alignment/>
    </xf>
    <xf numFmtId="172" fontId="0" fillId="24" borderId="35" xfId="0" applyNumberFormat="1" applyFill="1" applyBorder="1" applyAlignment="1">
      <alignment/>
    </xf>
    <xf numFmtId="172" fontId="0" fillId="24" borderId="30" xfId="0" applyNumberFormat="1" applyFill="1" applyBorder="1" applyAlignment="1">
      <alignment/>
    </xf>
    <xf numFmtId="172" fontId="0" fillId="24" borderId="22" xfId="0" applyNumberFormat="1" applyFill="1" applyBorder="1" applyAlignment="1">
      <alignment/>
    </xf>
    <xf numFmtId="172" fontId="30" fillId="24" borderId="0" xfId="0" applyNumberFormat="1" applyFont="1" applyFill="1" applyBorder="1" applyAlignment="1">
      <alignment horizontal="justify" vertical="justify" wrapText="1"/>
    </xf>
    <xf numFmtId="9" fontId="0" fillId="24" borderId="0" xfId="67" applyFont="1" applyFill="1" applyBorder="1" applyAlignment="1">
      <alignment/>
    </xf>
    <xf numFmtId="176" fontId="30" fillId="24" borderId="20" xfId="0" applyNumberFormat="1" applyFont="1" applyFill="1" applyBorder="1" applyAlignment="1">
      <alignment/>
    </xf>
    <xf numFmtId="9" fontId="0" fillId="24" borderId="20" xfId="67" applyFont="1" applyFill="1" applyBorder="1" applyAlignment="1">
      <alignment/>
    </xf>
    <xf numFmtId="10" fontId="0" fillId="24" borderId="20" xfId="67" applyNumberFormat="1" applyFont="1" applyFill="1" applyBorder="1" applyAlignment="1">
      <alignment/>
    </xf>
    <xf numFmtId="176" fontId="30" fillId="24" borderId="20" xfId="55" applyNumberFormat="1" applyFont="1" applyFill="1" applyBorder="1" applyAlignment="1">
      <alignment/>
    </xf>
    <xf numFmtId="172" fontId="30" fillId="24" borderId="20" xfId="0" applyNumberFormat="1" applyFont="1" applyFill="1" applyBorder="1" applyAlignment="1">
      <alignment/>
    </xf>
    <xf numFmtId="10" fontId="0" fillId="24" borderId="20" xfId="67" applyNumberFormat="1" applyFont="1" applyFill="1" applyBorder="1" applyAlignment="1">
      <alignment/>
    </xf>
    <xf numFmtId="9" fontId="0" fillId="24" borderId="20" xfId="67" applyFont="1" applyFill="1" applyBorder="1" applyAlignment="1">
      <alignment/>
    </xf>
    <xf numFmtId="43" fontId="0" fillId="24" borderId="20" xfId="0" applyNumberFormat="1" applyFill="1" applyBorder="1" applyAlignment="1">
      <alignment/>
    </xf>
    <xf numFmtId="178" fontId="0" fillId="24" borderId="20" xfId="67" applyNumberFormat="1" applyFont="1" applyFill="1" applyBorder="1" applyAlignment="1">
      <alignment/>
    </xf>
    <xf numFmtId="176" fontId="0" fillId="0" borderId="23" xfId="55" applyNumberFormat="1" applyFont="1" applyFill="1" applyBorder="1" applyAlignment="1">
      <alignment/>
    </xf>
    <xf numFmtId="176" fontId="0" fillId="0" borderId="36" xfId="55" applyNumberFormat="1" applyFont="1" applyFill="1" applyBorder="1" applyAlignment="1">
      <alignment/>
    </xf>
    <xf numFmtId="176" fontId="0" fillId="0" borderId="36" xfId="55" applyNumberFormat="1" applyFont="1" applyFill="1" applyBorder="1" applyAlignment="1">
      <alignment/>
    </xf>
    <xf numFmtId="172" fontId="0" fillId="0" borderId="36" xfId="0" applyNumberFormat="1" applyFill="1" applyBorder="1" applyAlignment="1">
      <alignment/>
    </xf>
    <xf numFmtId="172" fontId="0" fillId="0" borderId="37" xfId="0" applyNumberFormat="1" applyFill="1" applyBorder="1" applyAlignment="1">
      <alignment/>
    </xf>
    <xf numFmtId="43" fontId="0" fillId="24" borderId="23" xfId="55" applyNumberFormat="1" applyFont="1" applyFill="1" applyBorder="1" applyAlignment="1">
      <alignment/>
    </xf>
    <xf numFmtId="43" fontId="0" fillId="24" borderId="36" xfId="55" applyNumberFormat="1" applyFont="1" applyFill="1" applyBorder="1" applyAlignment="1">
      <alignment/>
    </xf>
    <xf numFmtId="43" fontId="0" fillId="24" borderId="37" xfId="55" applyNumberFormat="1" applyFont="1" applyFill="1" applyBorder="1" applyAlignment="1">
      <alignment/>
    </xf>
    <xf numFmtId="176" fontId="43" fillId="24" borderId="0" xfId="0" applyNumberFormat="1" applyFont="1" applyFill="1" applyBorder="1" applyAlignment="1">
      <alignment/>
    </xf>
    <xf numFmtId="3" fontId="48" fillId="0" borderId="0" xfId="0" applyNumberFormat="1" applyFont="1" applyFill="1" applyAlignment="1">
      <alignment/>
    </xf>
    <xf numFmtId="172" fontId="0" fillId="24" borderId="38" xfId="0" applyNumberFormat="1" applyFill="1" applyBorder="1" applyAlignment="1">
      <alignment/>
    </xf>
    <xf numFmtId="172" fontId="0" fillId="24" borderId="39" xfId="0" applyNumberFormat="1" applyFill="1" applyBorder="1" applyAlignment="1">
      <alignment/>
    </xf>
    <xf numFmtId="176" fontId="0" fillId="24" borderId="39" xfId="0" applyNumberFormat="1" applyFill="1" applyBorder="1" applyAlignment="1">
      <alignment/>
    </xf>
    <xf numFmtId="172" fontId="0" fillId="24" borderId="40" xfId="0" applyNumberFormat="1" applyFill="1" applyBorder="1" applyAlignment="1">
      <alignment/>
    </xf>
    <xf numFmtId="172" fontId="0" fillId="24" borderId="24" xfId="0" applyNumberFormat="1" applyFill="1" applyBorder="1" applyAlignment="1">
      <alignment/>
    </xf>
    <xf numFmtId="176" fontId="0" fillId="24" borderId="0" xfId="55" applyNumberFormat="1" applyFont="1" applyFill="1" applyBorder="1" applyAlignment="1">
      <alignment/>
    </xf>
    <xf numFmtId="176" fontId="32" fillId="24" borderId="22" xfId="0" applyNumberFormat="1" applyFont="1" applyFill="1" applyBorder="1" applyAlignment="1">
      <alignment/>
    </xf>
    <xf numFmtId="176" fontId="0" fillId="24" borderId="22" xfId="0" applyNumberFormat="1" applyFill="1" applyBorder="1" applyAlignment="1">
      <alignment/>
    </xf>
    <xf numFmtId="172" fontId="31" fillId="24" borderId="29" xfId="0" applyNumberFormat="1" applyFont="1" applyFill="1" applyBorder="1" applyAlignment="1">
      <alignment/>
    </xf>
    <xf numFmtId="172" fontId="31" fillId="24" borderId="30" xfId="0" applyNumberFormat="1" applyFont="1" applyFill="1" applyBorder="1" applyAlignment="1">
      <alignment/>
    </xf>
    <xf numFmtId="176" fontId="31" fillId="24" borderId="22" xfId="0" applyNumberFormat="1" applyFont="1" applyFill="1" applyBorder="1" applyAlignment="1">
      <alignment/>
    </xf>
    <xf numFmtId="172" fontId="31" fillId="24" borderId="30" xfId="0" applyNumberFormat="1" applyFont="1" applyFill="1" applyBorder="1" applyAlignment="1">
      <alignment/>
    </xf>
    <xf numFmtId="176" fontId="0" fillId="24" borderId="30" xfId="0" applyNumberFormat="1" applyFill="1" applyBorder="1" applyAlignment="1">
      <alignment/>
    </xf>
    <xf numFmtId="176" fontId="30" fillId="24" borderId="22" xfId="55" applyNumberFormat="1" applyFont="1" applyFill="1" applyBorder="1" applyAlignment="1">
      <alignment/>
    </xf>
    <xf numFmtId="176" fontId="30" fillId="24" borderId="22" xfId="0" applyNumberFormat="1" applyFont="1" applyFill="1" applyBorder="1" applyAlignment="1">
      <alignment/>
    </xf>
    <xf numFmtId="176" fontId="31" fillId="24" borderId="20" xfId="0" applyNumberFormat="1" applyFont="1" applyFill="1" applyBorder="1" applyAlignment="1">
      <alignment/>
    </xf>
    <xf numFmtId="172" fontId="0" fillId="24" borderId="34" xfId="0" applyNumberFormat="1" applyFont="1" applyFill="1" applyBorder="1" applyAlignment="1">
      <alignment/>
    </xf>
    <xf numFmtId="172" fontId="0" fillId="24" borderId="32" xfId="0" applyNumberFormat="1" applyFont="1" applyFill="1" applyBorder="1" applyAlignment="1">
      <alignment/>
    </xf>
    <xf numFmtId="172" fontId="24" fillId="24" borderId="33" xfId="0" applyNumberFormat="1" applyFont="1" applyFill="1" applyBorder="1" applyAlignment="1">
      <alignment/>
    </xf>
    <xf numFmtId="172" fontId="24" fillId="24" borderId="34" xfId="0" applyNumberFormat="1" applyFont="1" applyFill="1" applyBorder="1" applyAlignment="1">
      <alignment/>
    </xf>
    <xf numFmtId="172" fontId="0" fillId="24" borderId="35" xfId="0" applyNumberFormat="1" applyFont="1" applyFill="1" applyBorder="1" applyAlignment="1">
      <alignment/>
    </xf>
    <xf numFmtId="172" fontId="0" fillId="24" borderId="0" xfId="0" applyNumberFormat="1" applyFont="1" applyFill="1" applyBorder="1" applyAlignment="1">
      <alignment/>
    </xf>
    <xf numFmtId="172" fontId="24" fillId="24" borderId="32" xfId="0" applyNumberFormat="1" applyFont="1" applyFill="1" applyBorder="1" applyAlignment="1">
      <alignment/>
    </xf>
    <xf numFmtId="172" fontId="0" fillId="24" borderId="31" xfId="0" applyNumberFormat="1" applyFont="1" applyFill="1" applyBorder="1" applyAlignment="1">
      <alignment/>
    </xf>
    <xf numFmtId="172" fontId="31" fillId="24" borderId="35" xfId="0" applyNumberFormat="1" applyFont="1" applyFill="1" applyBorder="1" applyAlignment="1">
      <alignment/>
    </xf>
    <xf numFmtId="172" fontId="31" fillId="24" borderId="31" xfId="0" applyNumberFormat="1" applyFont="1" applyFill="1" applyBorder="1" applyAlignment="1">
      <alignment/>
    </xf>
    <xf numFmtId="172" fontId="0" fillId="24" borderId="30" xfId="0" applyNumberFormat="1" applyFont="1" applyFill="1" applyBorder="1" applyAlignment="1">
      <alignment/>
    </xf>
    <xf numFmtId="43" fontId="24" fillId="24" borderId="34" xfId="55" applyNumberFormat="1" applyFont="1" applyFill="1" applyBorder="1" applyAlignment="1">
      <alignment/>
    </xf>
    <xf numFmtId="43" fontId="24" fillId="24" borderId="0" xfId="55" applyNumberFormat="1" applyFont="1" applyFill="1" applyBorder="1" applyAlignment="1">
      <alignment/>
    </xf>
    <xf numFmtId="43" fontId="0" fillId="24" borderId="0" xfId="55" applyNumberFormat="1" applyFont="1" applyFill="1" applyBorder="1" applyAlignment="1">
      <alignment/>
    </xf>
    <xf numFmtId="176" fontId="0" fillId="24" borderId="23" xfId="55" applyNumberFormat="1" applyFont="1" applyFill="1" applyBorder="1" applyAlignment="1">
      <alignment/>
    </xf>
    <xf numFmtId="176" fontId="0" fillId="24" borderId="36" xfId="55" applyNumberFormat="1" applyFont="1" applyFill="1" applyBorder="1" applyAlignment="1">
      <alignment/>
    </xf>
    <xf numFmtId="176" fontId="0" fillId="24" borderId="37" xfId="0" applyNumberFormat="1" applyFont="1" applyFill="1" applyBorder="1" applyAlignment="1">
      <alignment/>
    </xf>
    <xf numFmtId="176" fontId="0" fillId="24" borderId="23" xfId="55" applyNumberFormat="1" applyFont="1" applyFill="1" applyBorder="1" applyAlignment="1">
      <alignment/>
    </xf>
    <xf numFmtId="176" fontId="0" fillId="24" borderId="37" xfId="55" applyNumberFormat="1" applyFont="1" applyFill="1" applyBorder="1" applyAlignment="1">
      <alignment/>
    </xf>
    <xf numFmtId="176" fontId="0" fillId="24" borderId="23" xfId="0" applyNumberFormat="1" applyFont="1" applyFill="1" applyBorder="1" applyAlignment="1">
      <alignment/>
    </xf>
    <xf numFmtId="176" fontId="0" fillId="24" borderId="36" xfId="55" applyNumberFormat="1" applyFont="1" applyFill="1" applyBorder="1" applyAlignment="1">
      <alignment/>
    </xf>
    <xf numFmtId="176" fontId="0" fillId="24" borderId="37" xfId="55" applyNumberFormat="1" applyFont="1" applyFill="1" applyBorder="1" applyAlignment="1">
      <alignment/>
    </xf>
    <xf numFmtId="176" fontId="0" fillId="24" borderId="23" xfId="0" applyNumberFormat="1" applyFill="1" applyBorder="1" applyAlignment="1">
      <alignment/>
    </xf>
    <xf numFmtId="176" fontId="0" fillId="24" borderId="37" xfId="0" applyNumberFormat="1" applyFill="1" applyBorder="1" applyAlignment="1">
      <alignment/>
    </xf>
    <xf numFmtId="176" fontId="0" fillId="24" borderId="20" xfId="55" applyNumberFormat="1" applyFont="1" applyFill="1" applyBorder="1" applyAlignment="1">
      <alignment/>
    </xf>
    <xf numFmtId="176" fontId="0" fillId="24" borderId="20" xfId="55" applyNumberFormat="1" applyFont="1" applyFill="1" applyBorder="1" applyAlignment="1">
      <alignment/>
    </xf>
    <xf numFmtId="176" fontId="44" fillId="24" borderId="0" xfId="0" applyNumberFormat="1" applyFont="1" applyFill="1" applyAlignment="1">
      <alignment/>
    </xf>
    <xf numFmtId="178" fontId="0" fillId="24" borderId="20" xfId="67" applyNumberFormat="1" applyFont="1" applyFill="1" applyBorder="1" applyAlignment="1">
      <alignment/>
    </xf>
    <xf numFmtId="176" fontId="31" fillId="24" borderId="20" xfId="55" applyNumberFormat="1" applyFont="1" applyFill="1" applyBorder="1" applyAlignment="1">
      <alignment/>
    </xf>
    <xf numFmtId="0" fontId="22" fillId="0" borderId="0" xfId="0" applyFont="1" applyFill="1" applyBorder="1" applyAlignment="1">
      <alignment vertical="justify" wrapText="1"/>
    </xf>
    <xf numFmtId="3" fontId="22" fillId="0" borderId="0" xfId="65" applyNumberFormat="1" applyFont="1" applyFill="1" applyBorder="1" applyAlignment="1">
      <alignment vertical="justify" wrapText="1"/>
      <protection/>
    </xf>
    <xf numFmtId="0" fontId="28" fillId="25" borderId="20" xfId="0" applyFont="1" applyFill="1" applyBorder="1" applyAlignment="1">
      <alignment horizontal="left" wrapText="1"/>
    </xf>
    <xf numFmtId="0" fontId="27" fillId="25" borderId="20" xfId="0" applyFont="1" applyFill="1" applyBorder="1" applyAlignment="1">
      <alignment horizontal="justify" vertical="justify" wrapText="1"/>
    </xf>
    <xf numFmtId="3" fontId="27" fillId="25" borderId="20" xfId="55" applyNumberFormat="1" applyFont="1" applyFill="1" applyBorder="1" applyAlignment="1">
      <alignment horizontal="right" wrapText="1"/>
    </xf>
    <xf numFmtId="175" fontId="28" fillId="25" borderId="20" xfId="55" applyNumberFormat="1" applyFont="1" applyFill="1" applyBorder="1" applyAlignment="1">
      <alignment/>
    </xf>
    <xf numFmtId="0" fontId="28" fillId="25" borderId="0" xfId="0" applyFont="1" applyFill="1" applyAlignment="1">
      <alignment/>
    </xf>
    <xf numFmtId="0" fontId="27" fillId="25" borderId="20" xfId="0" applyFont="1" applyFill="1" applyBorder="1" applyAlignment="1" applyProtection="1">
      <alignment horizontal="left" wrapText="1"/>
      <protection/>
    </xf>
    <xf numFmtId="0" fontId="27" fillId="25" borderId="20" xfId="0" applyFont="1" applyFill="1" applyBorder="1" applyAlignment="1" applyProtection="1">
      <alignment horizontal="justify" vertical="justify" wrapText="1"/>
      <protection/>
    </xf>
    <xf numFmtId="175" fontId="27" fillId="25" borderId="20" xfId="55" applyNumberFormat="1" applyFont="1" applyFill="1" applyBorder="1" applyAlignment="1" applyProtection="1">
      <alignment horizontal="center" vertical="center" wrapText="1"/>
      <protection locked="0"/>
    </xf>
    <xf numFmtId="175" fontId="27" fillId="25" borderId="20" xfId="55" applyNumberFormat="1" applyFont="1" applyFill="1" applyBorder="1" applyAlignment="1" applyProtection="1">
      <alignment wrapText="1"/>
      <protection locked="0"/>
    </xf>
    <xf numFmtId="3" fontId="27" fillId="25" borderId="20" xfId="55" applyNumberFormat="1" applyFont="1" applyFill="1" applyBorder="1" applyAlignment="1" applyProtection="1">
      <alignment horizontal="right" wrapText="1"/>
      <protection locked="0"/>
    </xf>
    <xf numFmtId="0" fontId="27" fillId="25" borderId="0" xfId="0" applyFont="1" applyFill="1" applyAlignment="1" applyProtection="1">
      <alignment wrapText="1"/>
      <protection locked="0"/>
    </xf>
    <xf numFmtId="183" fontId="28" fillId="24" borderId="0" xfId="55" applyNumberFormat="1" applyFont="1" applyFill="1" applyAlignment="1">
      <alignment horizontal="right" wrapText="1"/>
    </xf>
    <xf numFmtId="0" fontId="27" fillId="24" borderId="20" xfId="0" applyFont="1" applyFill="1" applyBorder="1" applyAlignment="1" applyProtection="1">
      <alignment horizontal="left" vertical="center" wrapText="1"/>
      <protection/>
    </xf>
    <xf numFmtId="0" fontId="27" fillId="24" borderId="20" xfId="0" applyFont="1" applyFill="1" applyBorder="1" applyAlignment="1" applyProtection="1">
      <alignment horizontal="justify" vertical="center" wrapText="1"/>
      <protection/>
    </xf>
    <xf numFmtId="3" fontId="27" fillId="0" borderId="20" xfId="55" applyNumberFormat="1" applyFont="1" applyFill="1" applyBorder="1" applyAlignment="1" applyProtection="1">
      <alignment horizontal="right" vertical="center" wrapText="1"/>
      <protection locked="0"/>
    </xf>
    <xf numFmtId="3" fontId="28" fillId="0" borderId="20" xfId="55" applyNumberFormat="1" applyFont="1" applyFill="1" applyBorder="1" applyAlignment="1" applyProtection="1">
      <alignment horizontal="right" vertical="center" wrapText="1"/>
      <protection locked="0"/>
    </xf>
    <xf numFmtId="0" fontId="27" fillId="24" borderId="0" xfId="0" applyFont="1" applyFill="1" applyAlignment="1" applyProtection="1">
      <alignment vertical="center" wrapText="1"/>
      <protection locked="0"/>
    </xf>
    <xf numFmtId="0" fontId="28" fillId="24" borderId="20" xfId="0" applyFont="1" applyFill="1" applyBorder="1" applyAlignment="1" applyProtection="1">
      <alignment horizontal="left" vertical="center" wrapText="1"/>
      <protection/>
    </xf>
    <xf numFmtId="0" fontId="28" fillId="24" borderId="20" xfId="0" applyFont="1" applyFill="1" applyBorder="1" applyAlignment="1" applyProtection="1">
      <alignment horizontal="justify" vertical="center" wrapText="1"/>
      <protection/>
    </xf>
    <xf numFmtId="3" fontId="28" fillId="0" borderId="20" xfId="55" applyNumberFormat="1" applyFont="1" applyFill="1" applyBorder="1" applyAlignment="1">
      <alignment horizontal="right" vertical="center" wrapText="1"/>
    </xf>
    <xf numFmtId="0" fontId="28" fillId="24" borderId="20" xfId="65" applyFont="1" applyFill="1" applyBorder="1" applyAlignment="1">
      <alignment horizontal="justify" vertical="center" wrapText="1"/>
      <protection/>
    </xf>
    <xf numFmtId="0" fontId="28" fillId="24" borderId="0" xfId="0" applyFont="1" applyFill="1" applyAlignment="1" applyProtection="1">
      <alignment horizontal="right" wrapText="1"/>
      <protection locked="0"/>
    </xf>
    <xf numFmtId="172" fontId="24" fillId="24" borderId="24" xfId="0" applyNumberFormat="1" applyFont="1" applyFill="1" applyBorder="1" applyAlignment="1">
      <alignment/>
    </xf>
    <xf numFmtId="172" fontId="0" fillId="24" borderId="0" xfId="0" applyNumberFormat="1" applyFont="1" applyFill="1" applyBorder="1" applyAlignment="1">
      <alignment/>
    </xf>
    <xf numFmtId="176" fontId="0" fillId="24" borderId="0" xfId="0" applyNumberFormat="1" applyFont="1" applyFill="1" applyBorder="1" applyAlignment="1">
      <alignment/>
    </xf>
    <xf numFmtId="172" fontId="0" fillId="24" borderId="25" xfId="0" applyNumberFormat="1" applyFont="1" applyFill="1" applyBorder="1" applyAlignment="1">
      <alignment/>
    </xf>
    <xf numFmtId="172" fontId="24" fillId="24" borderId="26" xfId="0" applyNumberFormat="1" applyFont="1" applyFill="1" applyBorder="1" applyAlignment="1">
      <alignment horizontal="justify" vertical="justify" wrapText="1"/>
    </xf>
    <xf numFmtId="172" fontId="24" fillId="24" borderId="27" xfId="0" applyNumberFormat="1" applyFont="1" applyFill="1" applyBorder="1" applyAlignment="1">
      <alignment horizontal="justify" vertical="justify" wrapText="1"/>
    </xf>
    <xf numFmtId="176" fontId="24" fillId="24" borderId="27" xfId="0" applyNumberFormat="1" applyFont="1" applyFill="1" applyBorder="1" applyAlignment="1">
      <alignment/>
    </xf>
    <xf numFmtId="9" fontId="0" fillId="24" borderId="28" xfId="67" applyFont="1" applyFill="1" applyBorder="1" applyAlignment="1">
      <alignment/>
    </xf>
    <xf numFmtId="172" fontId="24" fillId="24" borderId="0" xfId="0" applyNumberFormat="1" applyFont="1" applyFill="1" applyBorder="1" applyAlignment="1">
      <alignment horizontal="justify" vertical="justify" wrapText="1"/>
    </xf>
    <xf numFmtId="176" fontId="46" fillId="24" borderId="0" xfId="0" applyNumberFormat="1" applyFont="1" applyFill="1" applyBorder="1" applyAlignment="1">
      <alignment/>
    </xf>
    <xf numFmtId="9" fontId="0" fillId="24" borderId="0" xfId="67" applyFont="1" applyFill="1" applyBorder="1" applyAlignment="1">
      <alignment/>
    </xf>
    <xf numFmtId="176" fontId="24" fillId="24" borderId="20" xfId="0" applyNumberFormat="1" applyFont="1" applyFill="1" applyBorder="1" applyAlignment="1">
      <alignment/>
    </xf>
    <xf numFmtId="9" fontId="0" fillId="24" borderId="20" xfId="67" applyFont="1" applyFill="1" applyBorder="1" applyAlignment="1">
      <alignment/>
    </xf>
    <xf numFmtId="172" fontId="0" fillId="24" borderId="0" xfId="0" applyNumberFormat="1" applyFont="1" applyFill="1" applyAlignment="1">
      <alignment/>
    </xf>
    <xf numFmtId="176" fontId="0" fillId="24" borderId="0" xfId="0" applyNumberFormat="1" applyFont="1" applyFill="1" applyAlignment="1">
      <alignment/>
    </xf>
    <xf numFmtId="172" fontId="24" fillId="24" borderId="29" xfId="0" applyNumberFormat="1" applyFont="1" applyFill="1" applyBorder="1" applyAlignment="1">
      <alignment/>
    </xf>
    <xf numFmtId="172" fontId="24" fillId="24" borderId="30" xfId="0" applyNumberFormat="1" applyFont="1" applyFill="1" applyBorder="1" applyAlignment="1">
      <alignment/>
    </xf>
    <xf numFmtId="172" fontId="24" fillId="24" borderId="22" xfId="0" applyNumberFormat="1" applyFont="1" applyFill="1" applyBorder="1" applyAlignment="1">
      <alignment/>
    </xf>
    <xf numFmtId="10" fontId="0" fillId="24" borderId="20" xfId="67" applyNumberFormat="1" applyFont="1" applyFill="1" applyBorder="1" applyAlignment="1">
      <alignment/>
    </xf>
    <xf numFmtId="43" fontId="0" fillId="24" borderId="41" xfId="55" applyNumberFormat="1" applyFont="1" applyFill="1" applyBorder="1" applyAlignment="1">
      <alignment/>
    </xf>
    <xf numFmtId="43" fontId="0" fillId="24" borderId="42" xfId="55" applyNumberFormat="1" applyFont="1" applyFill="1" applyBorder="1" applyAlignment="1">
      <alignment/>
    </xf>
    <xf numFmtId="43" fontId="0" fillId="24" borderId="43" xfId="55" applyNumberFormat="1" applyFont="1" applyFill="1" applyBorder="1" applyAlignment="1">
      <alignment/>
    </xf>
    <xf numFmtId="176" fontId="24" fillId="24" borderId="20" xfId="55" applyNumberFormat="1" applyFont="1" applyFill="1" applyBorder="1" applyAlignment="1">
      <alignment/>
    </xf>
    <xf numFmtId="178" fontId="0" fillId="24" borderId="20" xfId="67" applyNumberFormat="1" applyFont="1" applyFill="1" applyBorder="1" applyAlignment="1">
      <alignment/>
    </xf>
    <xf numFmtId="43" fontId="0" fillId="24" borderId="20" xfId="0" applyNumberFormat="1" applyFont="1" applyFill="1" applyBorder="1" applyAlignment="1">
      <alignment/>
    </xf>
    <xf numFmtId="172" fontId="24" fillId="24" borderId="20" xfId="0" applyNumberFormat="1" applyFont="1" applyFill="1" applyBorder="1" applyAlignment="1">
      <alignment/>
    </xf>
    <xf numFmtId="172" fontId="24" fillId="24" borderId="0" xfId="0" applyNumberFormat="1" applyFont="1" applyFill="1" applyBorder="1" applyAlignment="1">
      <alignment/>
    </xf>
    <xf numFmtId="10" fontId="0" fillId="24" borderId="0" xfId="67" applyNumberFormat="1" applyFont="1" applyFill="1" applyAlignment="1">
      <alignment/>
    </xf>
    <xf numFmtId="172" fontId="0" fillId="24" borderId="33" xfId="0" applyNumberFormat="1" applyFont="1" applyFill="1" applyBorder="1" applyAlignment="1">
      <alignment/>
    </xf>
    <xf numFmtId="172" fontId="0" fillId="24" borderId="41" xfId="0" applyNumberFormat="1" applyFont="1" applyFill="1" applyBorder="1" applyAlignment="1">
      <alignment/>
    </xf>
    <xf numFmtId="176" fontId="0" fillId="0" borderId="41" xfId="55" applyNumberFormat="1" applyFont="1" applyFill="1" applyBorder="1" applyAlignment="1">
      <alignment/>
    </xf>
    <xf numFmtId="172" fontId="0" fillId="24" borderId="35" xfId="0" applyNumberFormat="1" applyFont="1" applyFill="1" applyBorder="1" applyAlignment="1">
      <alignment/>
    </xf>
    <xf numFmtId="172" fontId="0" fillId="24" borderId="42" xfId="0" applyNumberFormat="1" applyFont="1" applyFill="1" applyBorder="1" applyAlignment="1">
      <alignment/>
    </xf>
    <xf numFmtId="176" fontId="0" fillId="0" borderId="42" xfId="55" applyNumberFormat="1" applyFont="1" applyFill="1" applyBorder="1" applyAlignment="1">
      <alignment/>
    </xf>
    <xf numFmtId="172" fontId="0" fillId="0" borderId="42" xfId="0" applyNumberFormat="1" applyFont="1" applyFill="1" applyBorder="1" applyAlignment="1">
      <alignment/>
    </xf>
    <xf numFmtId="172" fontId="0" fillId="24" borderId="31" xfId="0" applyNumberFormat="1" applyFont="1" applyFill="1" applyBorder="1" applyAlignment="1">
      <alignment/>
    </xf>
    <xf numFmtId="172" fontId="0" fillId="24" borderId="43" xfId="0" applyNumberFormat="1" applyFont="1" applyFill="1" applyBorder="1" applyAlignment="1">
      <alignment/>
    </xf>
    <xf numFmtId="172" fontId="0" fillId="0" borderId="43" xfId="0" applyNumberFormat="1" applyFont="1" applyFill="1" applyBorder="1" applyAlignment="1">
      <alignment/>
    </xf>
    <xf numFmtId="172" fontId="0" fillId="24" borderId="30" xfId="0" applyNumberFormat="1" applyFont="1" applyFill="1" applyBorder="1" applyAlignment="1">
      <alignment/>
    </xf>
    <xf numFmtId="172" fontId="0" fillId="24" borderId="22" xfId="0" applyNumberFormat="1" applyFont="1" applyFill="1" applyBorder="1" applyAlignment="1">
      <alignment/>
    </xf>
    <xf numFmtId="172" fontId="0" fillId="24" borderId="35" xfId="0" applyNumberFormat="1" applyFont="1" applyFill="1" applyBorder="1" applyAlignment="1">
      <alignment/>
    </xf>
    <xf numFmtId="0" fontId="49" fillId="0" borderId="0" xfId="0" applyFont="1" applyFill="1" applyBorder="1" applyAlignment="1">
      <alignment/>
    </xf>
    <xf numFmtId="0" fontId="50" fillId="0" borderId="32" xfId="0" applyFont="1" applyFill="1" applyBorder="1" applyAlignment="1">
      <alignment/>
    </xf>
    <xf numFmtId="0" fontId="49" fillId="0" borderId="30" xfId="0" applyFont="1" applyFill="1" applyBorder="1" applyAlignment="1">
      <alignment/>
    </xf>
    <xf numFmtId="172" fontId="0" fillId="24" borderId="29" xfId="0" applyNumberFormat="1" applyFont="1" applyFill="1" applyBorder="1" applyAlignment="1">
      <alignment/>
    </xf>
    <xf numFmtId="0" fontId="28" fillId="0" borderId="0" xfId="0" applyFont="1" applyFill="1" applyAlignment="1" applyProtection="1">
      <alignment vertical="center" wrapText="1"/>
      <protection locked="0"/>
    </xf>
    <xf numFmtId="0" fontId="35" fillId="0" borderId="0" xfId="0" applyFont="1" applyFill="1" applyAlignment="1">
      <alignment horizontal="left"/>
    </xf>
    <xf numFmtId="0" fontId="45" fillId="24" borderId="0" xfId="0" applyFont="1" applyFill="1" applyAlignment="1">
      <alignment horizontal="center"/>
    </xf>
    <xf numFmtId="176" fontId="45" fillId="24" borderId="0" xfId="55" applyNumberFormat="1" applyFont="1" applyFill="1" applyAlignment="1">
      <alignment horizontal="center"/>
    </xf>
    <xf numFmtId="0" fontId="24" fillId="24" borderId="0" xfId="0" applyFont="1" applyFill="1" applyAlignment="1">
      <alignment horizontal="center"/>
    </xf>
    <xf numFmtId="172" fontId="30" fillId="24" borderId="24" xfId="0" applyNumberFormat="1" applyFont="1" applyFill="1" applyBorder="1" applyAlignment="1">
      <alignment horizontal="center"/>
    </xf>
    <xf numFmtId="172" fontId="30" fillId="24" borderId="0" xfId="0" applyNumberFormat="1" applyFont="1" applyFill="1" applyBorder="1" applyAlignment="1">
      <alignment horizontal="center"/>
    </xf>
    <xf numFmtId="172" fontId="30" fillId="24" borderId="25" xfId="0" applyNumberFormat="1" applyFont="1" applyFill="1" applyBorder="1" applyAlignment="1">
      <alignment horizontal="center"/>
    </xf>
    <xf numFmtId="172" fontId="30" fillId="24" borderId="26" xfId="0" applyNumberFormat="1" applyFont="1" applyFill="1" applyBorder="1" applyAlignment="1">
      <alignment horizontal="center" vertical="justify" wrapText="1"/>
    </xf>
    <xf numFmtId="172" fontId="30" fillId="24" borderId="27" xfId="0" applyNumberFormat="1" applyFont="1" applyFill="1" applyBorder="1" applyAlignment="1">
      <alignment horizontal="center" vertical="justify" wrapText="1"/>
    </xf>
    <xf numFmtId="172" fontId="30" fillId="24" borderId="28" xfId="0" applyNumberFormat="1" applyFont="1" applyFill="1" applyBorder="1" applyAlignment="1">
      <alignment horizontal="center" vertical="justify" wrapText="1"/>
    </xf>
    <xf numFmtId="172" fontId="31" fillId="24" borderId="29" xfId="0" applyNumberFormat="1" applyFont="1" applyFill="1" applyBorder="1" applyAlignment="1">
      <alignment horizontal="justify" vertical="justify" wrapText="1"/>
    </xf>
    <xf numFmtId="172" fontId="31" fillId="24" borderId="30" xfId="0" applyNumberFormat="1" applyFont="1" applyFill="1" applyBorder="1" applyAlignment="1">
      <alignment horizontal="justify" vertical="justify" wrapText="1"/>
    </xf>
    <xf numFmtId="172" fontId="31" fillId="24" borderId="22" xfId="0" applyNumberFormat="1" applyFont="1" applyFill="1" applyBorder="1" applyAlignment="1">
      <alignment horizontal="justify" vertical="justify" wrapText="1"/>
    </xf>
    <xf numFmtId="172" fontId="0" fillId="24" borderId="30" xfId="0" applyNumberFormat="1" applyFill="1" applyBorder="1" applyAlignment="1">
      <alignment horizontal="justify" vertical="justify" wrapText="1"/>
    </xf>
    <xf numFmtId="172" fontId="0" fillId="24" borderId="22" xfId="0" applyNumberFormat="1" applyFill="1" applyBorder="1" applyAlignment="1">
      <alignment horizontal="justify" vertical="justify" wrapText="1"/>
    </xf>
    <xf numFmtId="172" fontId="24" fillId="24" borderId="24" xfId="0" applyNumberFormat="1" applyFont="1" applyFill="1" applyBorder="1" applyAlignment="1">
      <alignment horizontal="center"/>
    </xf>
    <xf numFmtId="172" fontId="24" fillId="24" borderId="0" xfId="0" applyNumberFormat="1" applyFont="1" applyFill="1" applyBorder="1" applyAlignment="1">
      <alignment horizontal="center"/>
    </xf>
    <xf numFmtId="172" fontId="24" fillId="24" borderId="25" xfId="0" applyNumberFormat="1" applyFont="1" applyFill="1" applyBorder="1" applyAlignment="1">
      <alignment horizontal="center"/>
    </xf>
    <xf numFmtId="172" fontId="24" fillId="24" borderId="38" xfId="0" applyNumberFormat="1" applyFont="1" applyFill="1" applyBorder="1" applyAlignment="1">
      <alignment horizontal="center"/>
    </xf>
    <xf numFmtId="172" fontId="24" fillId="24" borderId="39" xfId="0" applyNumberFormat="1" applyFont="1" applyFill="1" applyBorder="1" applyAlignment="1">
      <alignment horizontal="center"/>
    </xf>
    <xf numFmtId="172" fontId="24" fillId="24" borderId="40" xfId="0" applyNumberFormat="1" applyFont="1" applyFill="1" applyBorder="1" applyAlignment="1">
      <alignment horizontal="center"/>
    </xf>
    <xf numFmtId="172" fontId="24" fillId="24" borderId="29" xfId="0" applyNumberFormat="1" applyFont="1" applyFill="1" applyBorder="1" applyAlignment="1">
      <alignment horizontal="left" vertical="center" wrapText="1"/>
    </xf>
    <xf numFmtId="172" fontId="24" fillId="24" borderId="30" xfId="0" applyNumberFormat="1" applyFont="1" applyFill="1" applyBorder="1" applyAlignment="1">
      <alignment horizontal="left" vertical="center" wrapText="1"/>
    </xf>
    <xf numFmtId="172" fontId="24" fillId="24" borderId="22" xfId="0" applyNumberFormat="1" applyFont="1" applyFill="1" applyBorder="1" applyAlignment="1">
      <alignment horizontal="left" vertical="center" wrapText="1"/>
    </xf>
    <xf numFmtId="172" fontId="24" fillId="24" borderId="24" xfId="0" applyNumberFormat="1" applyFont="1" applyFill="1" applyBorder="1" applyAlignment="1">
      <alignment horizontal="center" vertical="justify" wrapText="1"/>
    </xf>
    <xf numFmtId="172" fontId="24" fillId="24" borderId="0" xfId="0" applyNumberFormat="1" applyFont="1" applyFill="1" applyBorder="1" applyAlignment="1">
      <alignment horizontal="center" vertical="justify" wrapText="1"/>
    </xf>
    <xf numFmtId="172" fontId="24" fillId="24" borderId="25" xfId="0" applyNumberFormat="1" applyFont="1" applyFill="1" applyBorder="1" applyAlignment="1">
      <alignment horizontal="center" vertical="justify" wrapText="1"/>
    </xf>
    <xf numFmtId="172" fontId="0" fillId="24" borderId="35" xfId="0" applyNumberFormat="1" applyFont="1" applyFill="1" applyBorder="1" applyAlignment="1">
      <alignment horizontal="justify" vertical="justify" wrapText="1"/>
    </xf>
    <xf numFmtId="172" fontId="0" fillId="24" borderId="42" xfId="0" applyNumberFormat="1" applyFont="1" applyFill="1" applyBorder="1" applyAlignment="1">
      <alignment horizontal="justify" vertical="justify" wrapText="1"/>
    </xf>
    <xf numFmtId="172" fontId="0" fillId="24" borderId="31" xfId="0" applyNumberFormat="1" applyFont="1" applyFill="1" applyBorder="1" applyAlignment="1">
      <alignment horizontal="justify" vertical="justify" wrapText="1"/>
    </xf>
    <xf numFmtId="172" fontId="0" fillId="24" borderId="43" xfId="0" applyNumberFormat="1" applyFont="1" applyFill="1" applyBorder="1" applyAlignment="1">
      <alignment horizontal="justify" vertical="justify" wrapText="1"/>
    </xf>
    <xf numFmtId="172" fontId="0" fillId="24" borderId="33" xfId="0" applyNumberFormat="1" applyFont="1" applyFill="1" applyBorder="1" applyAlignment="1">
      <alignment horizontal="justify" vertical="justify" wrapText="1"/>
    </xf>
    <xf numFmtId="172" fontId="0" fillId="24" borderId="41" xfId="0" applyNumberFormat="1" applyFont="1" applyFill="1" applyBorder="1" applyAlignment="1">
      <alignment horizontal="justify" vertical="justify" wrapText="1"/>
    </xf>
    <xf numFmtId="0" fontId="22" fillId="0" borderId="0" xfId="65" applyFont="1" applyFill="1" applyBorder="1" applyAlignment="1">
      <alignment horizontal="justify" vertical="justify" wrapText="1"/>
      <protection/>
    </xf>
    <xf numFmtId="0" fontId="22" fillId="0" borderId="0" xfId="0" applyFont="1" applyFill="1" applyBorder="1" applyAlignment="1">
      <alignment horizontal="justify" vertical="justify" wrapText="1"/>
    </xf>
    <xf numFmtId="0" fontId="31" fillId="24" borderId="0" xfId="0" applyFont="1" applyFill="1" applyBorder="1" applyAlignment="1">
      <alignment horizontal="center"/>
    </xf>
    <xf numFmtId="3" fontId="28" fillId="24" borderId="0" xfId="0" applyNumberFormat="1" applyFont="1" applyFill="1" applyBorder="1" applyAlignment="1">
      <alignment horizontal="left" wrapText="1"/>
    </xf>
    <xf numFmtId="0" fontId="28" fillId="24"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vertical="justify" wrapText="1"/>
      <protection/>
    </xf>
    <xf numFmtId="0" fontId="24" fillId="0" borderId="0" xfId="0" applyFont="1" applyFill="1" applyBorder="1" applyAlignment="1">
      <alignment horizontal="justify" vertical="justify" wrapText="1"/>
    </xf>
    <xf numFmtId="0" fontId="26" fillId="0" borderId="0"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37" fillId="24" borderId="0" xfId="0" applyFont="1" applyFill="1" applyAlignment="1">
      <alignment horizontal="justify" vertical="justify" wrapText="1"/>
    </xf>
    <xf numFmtId="0" fontId="0" fillId="24" borderId="0" xfId="0" applyFont="1" applyFill="1" applyAlignment="1">
      <alignment horizontal="justify" vertical="justify" wrapText="1"/>
    </xf>
    <xf numFmtId="0" fontId="37" fillId="24" borderId="0" xfId="0" applyFont="1" applyFill="1" applyAlignment="1">
      <alignment horizontal="left"/>
    </xf>
    <xf numFmtId="0" fontId="22" fillId="24" borderId="20" xfId="65" applyFont="1" applyFill="1" applyBorder="1" applyAlignment="1">
      <alignment horizontal="justify" vertical="justify" wrapText="1"/>
      <protection/>
    </xf>
    <xf numFmtId="0" fontId="22" fillId="24" borderId="20" xfId="0" applyFont="1" applyFill="1" applyBorder="1" applyAlignment="1">
      <alignment horizontal="justify" vertical="justify" wrapText="1"/>
    </xf>
    <xf numFmtId="0" fontId="24" fillId="24" borderId="20" xfId="0" applyFont="1" applyFill="1" applyBorder="1" applyAlignment="1">
      <alignment horizontal="justify" vertical="justify" wrapText="1"/>
    </xf>
    <xf numFmtId="0" fontId="36" fillId="24" borderId="0" xfId="0" applyFont="1" applyFill="1" applyAlignment="1">
      <alignment horizontal="justify" vertical="justify" wrapText="1"/>
    </xf>
    <xf numFmtId="0" fontId="26" fillId="24" borderId="29" xfId="0" applyFont="1" applyFill="1" applyBorder="1" applyAlignment="1">
      <alignment horizontal="justify" vertical="center" wrapText="1"/>
    </xf>
    <xf numFmtId="0" fontId="26" fillId="24" borderId="22" xfId="0" applyFont="1" applyFill="1" applyBorder="1" applyAlignment="1">
      <alignment horizontal="justify" vertical="center" wrapText="1"/>
    </xf>
    <xf numFmtId="0" fontId="22" fillId="24" borderId="29" xfId="0" applyFont="1" applyFill="1" applyBorder="1" applyAlignment="1">
      <alignment horizontal="justify" vertical="center" wrapText="1"/>
    </xf>
    <xf numFmtId="0" fontId="22" fillId="24" borderId="22" xfId="0" applyFont="1" applyFill="1" applyBorder="1" applyAlignment="1">
      <alignment horizontal="justify" vertical="center" wrapText="1"/>
    </xf>
    <xf numFmtId="0" fontId="0" fillId="24" borderId="20" xfId="0" applyFont="1" applyFill="1" applyBorder="1" applyAlignment="1" applyProtection="1">
      <alignment horizontal="left" vertical="justify" wrapText="1"/>
      <protection/>
    </xf>
    <xf numFmtId="0" fontId="37" fillId="0" borderId="0" xfId="0" applyFont="1" applyFill="1" applyAlignment="1">
      <alignment horizontal="justify" vertical="justify" wrapText="1"/>
    </xf>
    <xf numFmtId="0" fontId="0" fillId="0" borderId="0" xfId="0" applyFont="1" applyFill="1" applyAlignment="1">
      <alignment horizontal="justify" vertical="justify" wrapText="1"/>
    </xf>
    <xf numFmtId="0" fontId="36" fillId="24" borderId="23" xfId="65" applyFont="1" applyFill="1" applyBorder="1" applyAlignment="1">
      <alignment horizontal="center" vertical="center" wrapText="1"/>
      <protection/>
    </xf>
    <xf numFmtId="0" fontId="36" fillId="24" borderId="37" xfId="0" applyFont="1" applyFill="1" applyBorder="1" applyAlignment="1">
      <alignment horizontal="center" vertical="center" wrapText="1"/>
    </xf>
    <xf numFmtId="0" fontId="36" fillId="24" borderId="33" xfId="65" applyFont="1" applyFill="1" applyBorder="1" applyAlignment="1">
      <alignment horizontal="center" vertical="center" wrapText="1"/>
      <protection/>
    </xf>
    <xf numFmtId="0" fontId="36" fillId="24" borderId="41" xfId="65" applyFont="1" applyFill="1" applyBorder="1" applyAlignment="1">
      <alignment horizontal="center" vertical="center" wrapText="1"/>
      <protection/>
    </xf>
    <xf numFmtId="0" fontId="36" fillId="24" borderId="31" xfId="0" applyFont="1" applyFill="1" applyBorder="1" applyAlignment="1">
      <alignment horizontal="center" vertical="center" wrapText="1"/>
    </xf>
    <xf numFmtId="0" fontId="36" fillId="24" borderId="43" xfId="0" applyFont="1" applyFill="1" applyBorder="1" applyAlignment="1">
      <alignment horizontal="center" vertical="center" wrapText="1"/>
    </xf>
    <xf numFmtId="0" fontId="36" fillId="24" borderId="29" xfId="0" applyFont="1" applyFill="1" applyBorder="1" applyAlignment="1">
      <alignment horizontal="center"/>
    </xf>
    <xf numFmtId="0" fontId="36" fillId="24" borderId="22" xfId="0" applyFont="1" applyFill="1" applyBorder="1" applyAlignment="1">
      <alignment horizontal="center"/>
    </xf>
    <xf numFmtId="0" fontId="37" fillId="24" borderId="0" xfId="0" applyFont="1" applyFill="1" applyAlignment="1">
      <alignment horizontal="justify" vertical="center"/>
    </xf>
    <xf numFmtId="0" fontId="38" fillId="24" borderId="0" xfId="0" applyFont="1" applyFill="1" applyAlignment="1">
      <alignment horizontal="justify" vertical="center"/>
    </xf>
    <xf numFmtId="0" fontId="40" fillId="24" borderId="0" xfId="0" applyFont="1" applyFill="1" applyAlignment="1">
      <alignment horizontal="center"/>
    </xf>
    <xf numFmtId="0" fontId="36" fillId="24" borderId="0" xfId="0" applyFont="1" applyFill="1" applyAlignment="1">
      <alignment horizontal="center"/>
    </xf>
    <xf numFmtId="172" fontId="0" fillId="24" borderId="35" xfId="0" applyNumberFormat="1" applyFill="1" applyBorder="1" applyAlignment="1">
      <alignment horizontal="justify" vertical="justify" wrapText="1"/>
    </xf>
    <xf numFmtId="172" fontId="0" fillId="24" borderId="0" xfId="0" applyNumberFormat="1" applyFill="1" applyBorder="1" applyAlignment="1">
      <alignment horizontal="justify" vertical="justify" wrapText="1"/>
    </xf>
    <xf numFmtId="172" fontId="0" fillId="24" borderId="31" xfId="0" applyNumberFormat="1" applyFill="1" applyBorder="1" applyAlignment="1">
      <alignment horizontal="justify" vertical="justify" wrapText="1"/>
    </xf>
    <xf numFmtId="172" fontId="0" fillId="24" borderId="32" xfId="0" applyNumberFormat="1" applyFill="1" applyBorder="1" applyAlignment="1">
      <alignment horizontal="justify" vertical="justify" wrapText="1"/>
    </xf>
    <xf numFmtId="172" fontId="30" fillId="24" borderId="38" xfId="0" applyNumberFormat="1" applyFont="1" applyFill="1" applyBorder="1" applyAlignment="1">
      <alignment horizontal="center"/>
    </xf>
    <xf numFmtId="172" fontId="30" fillId="24" borderId="39" xfId="0" applyNumberFormat="1" applyFont="1" applyFill="1" applyBorder="1" applyAlignment="1">
      <alignment horizontal="center"/>
    </xf>
    <xf numFmtId="172" fontId="30" fillId="24" borderId="40" xfId="0" applyNumberFormat="1" applyFont="1" applyFill="1" applyBorder="1" applyAlignment="1">
      <alignment horizontal="center"/>
    </xf>
    <xf numFmtId="172" fontId="30" fillId="24" borderId="24" xfId="0" applyNumberFormat="1" applyFont="1" applyFill="1" applyBorder="1" applyAlignment="1">
      <alignment horizontal="center" vertical="justify" wrapText="1"/>
    </xf>
    <xf numFmtId="172" fontId="30" fillId="24" borderId="0" xfId="0" applyNumberFormat="1" applyFont="1" applyFill="1" applyBorder="1" applyAlignment="1">
      <alignment horizontal="center" vertical="justify" wrapText="1"/>
    </xf>
    <xf numFmtId="172" fontId="30" fillId="24" borderId="25" xfId="0" applyNumberFormat="1" applyFont="1" applyFill="1" applyBorder="1" applyAlignment="1">
      <alignment horizontal="center" vertical="justify" wrapText="1"/>
    </xf>
    <xf numFmtId="172" fontId="30" fillId="24" borderId="29" xfId="0" applyNumberFormat="1" applyFont="1" applyFill="1" applyBorder="1" applyAlignment="1">
      <alignment horizontal="left" vertical="center" wrapText="1"/>
    </xf>
    <xf numFmtId="172" fontId="30" fillId="24" borderId="30" xfId="0" applyNumberFormat="1" applyFont="1" applyFill="1" applyBorder="1" applyAlignment="1">
      <alignment horizontal="left" vertical="center" wrapText="1"/>
    </xf>
    <xf numFmtId="172" fontId="30" fillId="24" borderId="22" xfId="0" applyNumberFormat="1" applyFont="1" applyFill="1" applyBorder="1" applyAlignment="1">
      <alignment horizontal="left" vertical="center" wrapText="1"/>
    </xf>
    <xf numFmtId="172" fontId="0" fillId="24" borderId="33" xfId="0" applyNumberFormat="1" applyFill="1" applyBorder="1" applyAlignment="1">
      <alignment horizontal="justify" vertical="justify" wrapText="1"/>
    </xf>
    <xf numFmtId="172" fontId="0" fillId="24" borderId="34" xfId="0" applyNumberFormat="1" applyFill="1" applyBorder="1" applyAlignment="1">
      <alignment horizontal="justify" vertical="justify"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F2" xfId="47"/>
    <cellStyle name="F3" xfId="48"/>
    <cellStyle name="F4" xfId="49"/>
    <cellStyle name="F5" xfId="50"/>
    <cellStyle name="F6" xfId="51"/>
    <cellStyle name="F7" xfId="52"/>
    <cellStyle name="F8" xfId="53"/>
    <cellStyle name="Incorrecto" xfId="54"/>
    <cellStyle name="Comma" xfId="55"/>
    <cellStyle name="Comma [0]" xfId="56"/>
    <cellStyle name="Millares 26" xfId="57"/>
    <cellStyle name="Millares 3" xfId="58"/>
    <cellStyle name="Currency" xfId="59"/>
    <cellStyle name="Currency [0]" xfId="60"/>
    <cellStyle name="Neutral" xfId="61"/>
    <cellStyle name="Normal 2" xfId="62"/>
    <cellStyle name="Normal 4" xfId="63"/>
    <cellStyle name="Normal 8" xfId="64"/>
    <cellStyle name="Normal_Hoja1"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Rar$DI00.657\Directorio%20temporal%201%20para%20YANI.zip\YANI\PRESUPUESTO%202011\PRESUPUESTO%20CAJIBIO%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NGRESOS"/>
      <sheetName val="ANEXO GASTOS"/>
      <sheetName val="PROYECTO DE ACUERDO"/>
      <sheetName val="EMOTIVOS"/>
    </sheetNames>
    <sheetDataSet>
      <sheetData sheetId="1">
        <row r="15">
          <cell r="C15">
            <v>47890228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7" tint="-0.24997000396251678"/>
  </sheetPr>
  <dimension ref="A1:L90"/>
  <sheetViews>
    <sheetView zoomScale="130" zoomScaleNormal="130" zoomScalePageLayoutView="0" workbookViewId="0" topLeftCell="A10">
      <selection activeCell="C13" sqref="C13"/>
    </sheetView>
  </sheetViews>
  <sheetFormatPr defaultColWidth="24.421875" defaultRowHeight="12.75"/>
  <cols>
    <col min="1" max="1" width="12.7109375" style="45" customWidth="1"/>
    <col min="2" max="2" width="39.00390625" style="50" customWidth="1"/>
    <col min="3" max="3" width="16.28125" style="155" customWidth="1"/>
    <col min="4" max="4" width="16.28125" style="37" customWidth="1"/>
    <col min="5" max="5" width="16.28125" style="48" customWidth="1"/>
    <col min="6" max="6" width="16.28125" style="37" customWidth="1"/>
    <col min="7" max="7" width="16.28125" style="48" customWidth="1"/>
    <col min="8" max="8" width="16.28125" style="37" customWidth="1"/>
    <col min="9" max="9" width="16.28125" style="48" customWidth="1"/>
    <col min="10" max="10" width="16.28125" style="37" customWidth="1"/>
    <col min="11" max="11" width="16.28125" style="48" customWidth="1"/>
    <col min="12" max="12" width="18.7109375" style="37" customWidth="1"/>
    <col min="13" max="16384" width="24.421875" style="38" customWidth="1"/>
  </cols>
  <sheetData>
    <row r="1" spans="1:2" ht="12">
      <c r="A1" s="343" t="s">
        <v>235</v>
      </c>
      <c r="B1" s="343"/>
    </row>
    <row r="2" spans="1:2" ht="12">
      <c r="A2" s="343" t="s">
        <v>735</v>
      </c>
      <c r="B2" s="343"/>
    </row>
    <row r="3" spans="1:2" ht="12">
      <c r="A3" s="343" t="s">
        <v>2</v>
      </c>
      <c r="B3" s="343"/>
    </row>
    <row r="4" ht="12">
      <c r="B4" s="296"/>
    </row>
    <row r="5" spans="1:12" s="28" customFormat="1" ht="12">
      <c r="A5" s="24" t="s">
        <v>302</v>
      </c>
      <c r="B5" s="25" t="s">
        <v>303</v>
      </c>
      <c r="C5" s="151">
        <v>2013</v>
      </c>
      <c r="D5" s="27">
        <f aca="true" t="shared" si="0" ref="D5:L5">+C5+1</f>
        <v>2014</v>
      </c>
      <c r="E5" s="27">
        <f t="shared" si="0"/>
        <v>2015</v>
      </c>
      <c r="F5" s="27">
        <f t="shared" si="0"/>
        <v>2016</v>
      </c>
      <c r="G5" s="27">
        <f t="shared" si="0"/>
        <v>2017</v>
      </c>
      <c r="H5" s="27">
        <f t="shared" si="0"/>
        <v>2018</v>
      </c>
      <c r="I5" s="27">
        <f t="shared" si="0"/>
        <v>2019</v>
      </c>
      <c r="J5" s="27">
        <f t="shared" si="0"/>
        <v>2020</v>
      </c>
      <c r="K5" s="27">
        <f t="shared" si="0"/>
        <v>2021</v>
      </c>
      <c r="L5" s="27">
        <f t="shared" si="0"/>
        <v>2022</v>
      </c>
    </row>
    <row r="6" spans="1:12" s="285" customFormat="1" ht="12">
      <c r="A6" s="280" t="s">
        <v>469</v>
      </c>
      <c r="B6" s="281" t="s">
        <v>306</v>
      </c>
      <c r="C6" s="152">
        <f>+C7</f>
        <v>20862877000</v>
      </c>
      <c r="D6" s="284">
        <f aca="true" t="shared" si="1" ref="D6:L6">+D7</f>
        <v>21648507920</v>
      </c>
      <c r="E6" s="284">
        <f t="shared" si="1"/>
        <v>22189720617.999996</v>
      </c>
      <c r="F6" s="284">
        <f t="shared" si="1"/>
        <v>22744463633.449997</v>
      </c>
      <c r="G6" s="284">
        <f t="shared" si="1"/>
        <v>23313075224.286243</v>
      </c>
      <c r="H6" s="284">
        <f t="shared" si="1"/>
        <v>23895902104.8934</v>
      </c>
      <c r="I6" s="284">
        <f t="shared" si="1"/>
        <v>24493299657.51573</v>
      </c>
      <c r="J6" s="284">
        <f t="shared" si="1"/>
        <v>25105632148.953625</v>
      </c>
      <c r="K6" s="284">
        <f t="shared" si="1"/>
        <v>25733272952.677464</v>
      </c>
      <c r="L6" s="284">
        <f t="shared" si="1"/>
        <v>26376604776.4944</v>
      </c>
    </row>
    <row r="7" spans="1:12" s="291" customFormat="1" ht="12">
      <c r="A7" s="287" t="s">
        <v>470</v>
      </c>
      <c r="B7" s="288" t="s">
        <v>306</v>
      </c>
      <c r="C7" s="289">
        <f aca="true" t="shared" si="2" ref="C7:L7">+C8+C80++C90</f>
        <v>20862877000</v>
      </c>
      <c r="D7" s="289">
        <f t="shared" si="2"/>
        <v>21648507920</v>
      </c>
      <c r="E7" s="289">
        <f t="shared" si="2"/>
        <v>22189720617.999996</v>
      </c>
      <c r="F7" s="289">
        <f t="shared" si="2"/>
        <v>22744463633.449997</v>
      </c>
      <c r="G7" s="289">
        <f t="shared" si="2"/>
        <v>23313075224.286243</v>
      </c>
      <c r="H7" s="289">
        <f t="shared" si="2"/>
        <v>23895902104.8934</v>
      </c>
      <c r="I7" s="289">
        <f t="shared" si="2"/>
        <v>24493299657.51573</v>
      </c>
      <c r="J7" s="289">
        <f t="shared" si="2"/>
        <v>25105632148.953625</v>
      </c>
      <c r="K7" s="289">
        <f t="shared" si="2"/>
        <v>25733272952.677464</v>
      </c>
      <c r="L7" s="289">
        <f t="shared" si="2"/>
        <v>26376604776.4944</v>
      </c>
    </row>
    <row r="8" spans="1:12" s="291" customFormat="1" ht="12">
      <c r="A8" s="287" t="s">
        <v>471</v>
      </c>
      <c r="B8" s="288" t="s">
        <v>307</v>
      </c>
      <c r="C8" s="289">
        <f>+C9+C33</f>
        <v>6067315000</v>
      </c>
      <c r="D8" s="289">
        <f aca="true" t="shared" si="3" ref="D8:L8">+D9+D33</f>
        <v>6310007600</v>
      </c>
      <c r="E8" s="289">
        <f t="shared" si="3"/>
        <v>6467757789.999999</v>
      </c>
      <c r="F8" s="289">
        <f t="shared" si="3"/>
        <v>6629451734.749998</v>
      </c>
      <c r="G8" s="289">
        <f t="shared" si="3"/>
        <v>6795188028.118748</v>
      </c>
      <c r="H8" s="289">
        <f t="shared" si="3"/>
        <v>6965067728.821716</v>
      </c>
      <c r="I8" s="289">
        <f t="shared" si="3"/>
        <v>7139194422.042258</v>
      </c>
      <c r="J8" s="289">
        <f t="shared" si="3"/>
        <v>7317674282.593315</v>
      </c>
      <c r="K8" s="289">
        <f t="shared" si="3"/>
        <v>7500616139.658147</v>
      </c>
      <c r="L8" s="289">
        <f t="shared" si="3"/>
        <v>7688131543.1496</v>
      </c>
    </row>
    <row r="9" spans="1:12" s="291" customFormat="1" ht="12">
      <c r="A9" s="292" t="s">
        <v>472</v>
      </c>
      <c r="B9" s="293" t="s">
        <v>308</v>
      </c>
      <c r="C9" s="290">
        <f>+C10+C15+C17+C20+C23+C24+C25+C26+C29+C30+C31</f>
        <v>745051000</v>
      </c>
      <c r="D9" s="290">
        <f aca="true" t="shared" si="4" ref="D9:D72">+C9*1.04</f>
        <v>774853040</v>
      </c>
      <c r="E9" s="290">
        <f aca="true" t="shared" si="5" ref="E9:L9">+D9*1.025</f>
        <v>794224365.9999999</v>
      </c>
      <c r="F9" s="290">
        <f t="shared" si="5"/>
        <v>814079975.1499999</v>
      </c>
      <c r="G9" s="290">
        <f t="shared" si="5"/>
        <v>834431974.5287498</v>
      </c>
      <c r="H9" s="290">
        <f t="shared" si="5"/>
        <v>855292773.8919685</v>
      </c>
      <c r="I9" s="290">
        <f t="shared" si="5"/>
        <v>876675093.2392676</v>
      </c>
      <c r="J9" s="290">
        <f t="shared" si="5"/>
        <v>898591970.5702492</v>
      </c>
      <c r="K9" s="290">
        <f t="shared" si="5"/>
        <v>921056769.8345053</v>
      </c>
      <c r="L9" s="290">
        <f t="shared" si="5"/>
        <v>944083189.0803679</v>
      </c>
    </row>
    <row r="10" spans="1:12" s="28" customFormat="1" ht="12">
      <c r="A10" s="292" t="s">
        <v>473</v>
      </c>
      <c r="B10" s="293" t="s">
        <v>309</v>
      </c>
      <c r="C10" s="290">
        <f>SUM(C11:C14)</f>
        <v>353815000</v>
      </c>
      <c r="D10" s="290">
        <f t="shared" si="4"/>
        <v>367967600</v>
      </c>
      <c r="E10" s="290">
        <f aca="true" t="shared" si="6" ref="E10:F12">+D10*1.025</f>
        <v>377166789.99999994</v>
      </c>
      <c r="F10" s="290">
        <f t="shared" si="6"/>
        <v>386595959.7499999</v>
      </c>
      <c r="G10" s="290">
        <f aca="true" t="shared" si="7" ref="G10:G32">+F10*1.025</f>
        <v>396260858.74374986</v>
      </c>
      <c r="H10" s="290">
        <f aca="true" t="shared" si="8" ref="H10:H32">+G10*1.025</f>
        <v>406167380.2123436</v>
      </c>
      <c r="I10" s="290">
        <f aca="true" t="shared" si="9" ref="I10:I32">+H10*1.025</f>
        <v>416321564.71765214</v>
      </c>
      <c r="J10" s="290">
        <f aca="true" t="shared" si="10" ref="J10:J32">+I10*1.025</f>
        <v>426729603.8355934</v>
      </c>
      <c r="K10" s="290">
        <f aca="true" t="shared" si="11" ref="K10:K32">+J10*1.025</f>
        <v>437397843.9314832</v>
      </c>
      <c r="L10" s="290">
        <f aca="true" t="shared" si="12" ref="L10:L32">+K10*1.025</f>
        <v>448332790.02977026</v>
      </c>
    </row>
    <row r="11" spans="1:12" s="28" customFormat="1" ht="24">
      <c r="A11" s="292" t="s">
        <v>474</v>
      </c>
      <c r="B11" s="293" t="s">
        <v>310</v>
      </c>
      <c r="C11" s="294">
        <v>235000000</v>
      </c>
      <c r="D11" s="290">
        <f t="shared" si="4"/>
        <v>244400000</v>
      </c>
      <c r="E11" s="290">
        <f t="shared" si="6"/>
        <v>250509999.99999997</v>
      </c>
      <c r="F11" s="290">
        <f t="shared" si="6"/>
        <v>256772749.99999994</v>
      </c>
      <c r="G11" s="290">
        <f t="shared" si="7"/>
        <v>263192068.7499999</v>
      </c>
      <c r="H11" s="290">
        <f t="shared" si="8"/>
        <v>269771870.4687499</v>
      </c>
      <c r="I11" s="290">
        <f t="shared" si="9"/>
        <v>276516167.23046863</v>
      </c>
      <c r="J11" s="290">
        <f t="shared" si="10"/>
        <v>283429071.4112303</v>
      </c>
      <c r="K11" s="290">
        <f t="shared" si="11"/>
        <v>290514798.19651103</v>
      </c>
      <c r="L11" s="290">
        <f t="shared" si="12"/>
        <v>297777668.15142375</v>
      </c>
    </row>
    <row r="12" spans="1:12" s="28" customFormat="1" ht="24">
      <c r="A12" s="292" t="s">
        <v>475</v>
      </c>
      <c r="B12" s="293" t="s">
        <v>311</v>
      </c>
      <c r="C12" s="294">
        <f>135000000-35000000</f>
        <v>100000000</v>
      </c>
      <c r="D12" s="290">
        <f t="shared" si="4"/>
        <v>104000000</v>
      </c>
      <c r="E12" s="290">
        <f t="shared" si="6"/>
        <v>106599999.99999999</v>
      </c>
      <c r="F12" s="290">
        <f t="shared" si="6"/>
        <v>109264999.99999997</v>
      </c>
      <c r="G12" s="290">
        <f t="shared" si="7"/>
        <v>111996624.99999996</v>
      </c>
      <c r="H12" s="290">
        <f t="shared" si="8"/>
        <v>114796540.62499994</v>
      </c>
      <c r="I12" s="290">
        <f t="shared" si="9"/>
        <v>117666454.14062493</v>
      </c>
      <c r="J12" s="290">
        <f t="shared" si="10"/>
        <v>120608115.49414054</v>
      </c>
      <c r="K12" s="290">
        <f t="shared" si="11"/>
        <v>123623318.38149405</v>
      </c>
      <c r="L12" s="290">
        <f t="shared" si="12"/>
        <v>126713901.34103139</v>
      </c>
    </row>
    <row r="13" spans="1:12" s="28" customFormat="1" ht="24">
      <c r="A13" s="292" t="s">
        <v>476</v>
      </c>
      <c r="B13" s="293" t="s">
        <v>312</v>
      </c>
      <c r="C13" s="294">
        <v>7815000</v>
      </c>
      <c r="D13" s="290">
        <v>0</v>
      </c>
      <c r="E13" s="290">
        <f aca="true" t="shared" si="13" ref="E13:E44">+D13*1.025</f>
        <v>0</v>
      </c>
      <c r="F13" s="290">
        <f aca="true" t="shared" si="14" ref="F13:F32">+E13*1.025</f>
        <v>0</v>
      </c>
      <c r="G13" s="290">
        <f t="shared" si="7"/>
        <v>0</v>
      </c>
      <c r="H13" s="290">
        <f t="shared" si="8"/>
        <v>0</v>
      </c>
      <c r="I13" s="290">
        <f t="shared" si="9"/>
        <v>0</v>
      </c>
      <c r="J13" s="290">
        <f t="shared" si="10"/>
        <v>0</v>
      </c>
      <c r="K13" s="290">
        <f t="shared" si="11"/>
        <v>0</v>
      </c>
      <c r="L13" s="290">
        <f t="shared" si="12"/>
        <v>0</v>
      </c>
    </row>
    <row r="14" spans="1:12" s="28" customFormat="1" ht="36">
      <c r="A14" s="292" t="s">
        <v>477</v>
      </c>
      <c r="B14" s="293" t="s">
        <v>313</v>
      </c>
      <c r="C14" s="342">
        <v>11000000</v>
      </c>
      <c r="D14" s="290">
        <f>+C13*1.04</f>
        <v>8127600</v>
      </c>
      <c r="E14" s="290">
        <f t="shared" si="13"/>
        <v>8330789.999999999</v>
      </c>
      <c r="F14" s="290">
        <f t="shared" si="14"/>
        <v>8539059.749999998</v>
      </c>
      <c r="G14" s="290">
        <f t="shared" si="7"/>
        <v>8752536.243749997</v>
      </c>
      <c r="H14" s="290">
        <f t="shared" si="8"/>
        <v>8971349.649843745</v>
      </c>
      <c r="I14" s="290">
        <f t="shared" si="9"/>
        <v>9195633.391089838</v>
      </c>
      <c r="J14" s="290">
        <f t="shared" si="10"/>
        <v>9425524.225867083</v>
      </c>
      <c r="K14" s="290">
        <f t="shared" si="11"/>
        <v>9661162.331513759</v>
      </c>
      <c r="L14" s="290">
        <f t="shared" si="12"/>
        <v>9902691.389801601</v>
      </c>
    </row>
    <row r="15" spans="1:12" s="28" customFormat="1" ht="12">
      <c r="A15" s="292" t="s">
        <v>4</v>
      </c>
      <c r="B15" s="293" t="s">
        <v>314</v>
      </c>
      <c r="C15" s="290">
        <f>SUM(C16:C16)</f>
        <v>58000000</v>
      </c>
      <c r="D15" s="290">
        <f t="shared" si="4"/>
        <v>60320000</v>
      </c>
      <c r="E15" s="290">
        <f t="shared" si="13"/>
        <v>61827999.99999999</v>
      </c>
      <c r="F15" s="290">
        <f t="shared" si="14"/>
        <v>63373699.999999985</v>
      </c>
      <c r="G15" s="290">
        <f t="shared" si="7"/>
        <v>64958042.49999998</v>
      </c>
      <c r="H15" s="290">
        <f t="shared" si="8"/>
        <v>66581993.56249997</v>
      </c>
      <c r="I15" s="290">
        <f t="shared" si="9"/>
        <v>68246543.40156247</v>
      </c>
      <c r="J15" s="290">
        <f t="shared" si="10"/>
        <v>69952706.98660152</v>
      </c>
      <c r="K15" s="290">
        <f t="shared" si="11"/>
        <v>71701524.66126655</v>
      </c>
      <c r="L15" s="290">
        <f t="shared" si="12"/>
        <v>73494062.7777982</v>
      </c>
    </row>
    <row r="16" spans="1:12" s="28" customFormat="1" ht="36" hidden="1">
      <c r="A16" s="292" t="s">
        <v>5</v>
      </c>
      <c r="B16" s="293" t="s">
        <v>315</v>
      </c>
      <c r="C16" s="294">
        <v>58000000</v>
      </c>
      <c r="D16" s="290">
        <f t="shared" si="4"/>
        <v>60320000</v>
      </c>
      <c r="E16" s="290">
        <f t="shared" si="13"/>
        <v>61827999.99999999</v>
      </c>
      <c r="F16" s="290">
        <f t="shared" si="14"/>
        <v>63373699.999999985</v>
      </c>
      <c r="G16" s="290">
        <f t="shared" si="7"/>
        <v>64958042.49999998</v>
      </c>
      <c r="H16" s="290">
        <f t="shared" si="8"/>
        <v>66581993.56249997</v>
      </c>
      <c r="I16" s="290">
        <f t="shared" si="9"/>
        <v>68246543.40156247</v>
      </c>
      <c r="J16" s="290">
        <f t="shared" si="10"/>
        <v>69952706.98660152</v>
      </c>
      <c r="K16" s="290">
        <f t="shared" si="11"/>
        <v>71701524.66126655</v>
      </c>
      <c r="L16" s="290">
        <f t="shared" si="12"/>
        <v>73494062.7777982</v>
      </c>
    </row>
    <row r="17" spans="1:12" s="28" customFormat="1" ht="12">
      <c r="A17" s="292" t="s">
        <v>6</v>
      </c>
      <c r="B17" s="293" t="s">
        <v>316</v>
      </c>
      <c r="C17" s="290">
        <f>SUM(C18:C19)</f>
        <v>76000000</v>
      </c>
      <c r="D17" s="290">
        <f t="shared" si="4"/>
        <v>79040000</v>
      </c>
      <c r="E17" s="290">
        <f t="shared" si="13"/>
        <v>81016000</v>
      </c>
      <c r="F17" s="290">
        <f t="shared" si="14"/>
        <v>83041400</v>
      </c>
      <c r="G17" s="290">
        <f t="shared" si="7"/>
        <v>85117435</v>
      </c>
      <c r="H17" s="290">
        <f t="shared" si="8"/>
        <v>87245370.87499999</v>
      </c>
      <c r="I17" s="290">
        <f t="shared" si="9"/>
        <v>89426505.14687498</v>
      </c>
      <c r="J17" s="290">
        <f t="shared" si="10"/>
        <v>91662167.77554685</v>
      </c>
      <c r="K17" s="290">
        <f t="shared" si="11"/>
        <v>93953721.9699355</v>
      </c>
      <c r="L17" s="290">
        <f t="shared" si="12"/>
        <v>96302565.01918389</v>
      </c>
    </row>
    <row r="18" spans="1:12" s="28" customFormat="1" ht="24">
      <c r="A18" s="292" t="s">
        <v>7</v>
      </c>
      <c r="B18" s="293" t="s">
        <v>317</v>
      </c>
      <c r="C18" s="294">
        <v>75000000</v>
      </c>
      <c r="D18" s="290">
        <f t="shared" si="4"/>
        <v>78000000</v>
      </c>
      <c r="E18" s="290">
        <f t="shared" si="13"/>
        <v>79950000</v>
      </c>
      <c r="F18" s="290">
        <f t="shared" si="14"/>
        <v>81948750</v>
      </c>
      <c r="G18" s="290">
        <f t="shared" si="7"/>
        <v>83997468.75</v>
      </c>
      <c r="H18" s="290">
        <f t="shared" si="8"/>
        <v>86097405.46874999</v>
      </c>
      <c r="I18" s="290">
        <f t="shared" si="9"/>
        <v>88249840.60546872</v>
      </c>
      <c r="J18" s="290">
        <f t="shared" si="10"/>
        <v>90456086.62060542</v>
      </c>
      <c r="K18" s="290">
        <f t="shared" si="11"/>
        <v>92717488.78612055</v>
      </c>
      <c r="L18" s="290">
        <f t="shared" si="12"/>
        <v>95035426.00577356</v>
      </c>
    </row>
    <row r="19" spans="1:12" s="28" customFormat="1" ht="24">
      <c r="A19" s="292" t="s">
        <v>8</v>
      </c>
      <c r="B19" s="293" t="s">
        <v>318</v>
      </c>
      <c r="C19" s="294">
        <v>1000000</v>
      </c>
      <c r="D19" s="290">
        <f t="shared" si="4"/>
        <v>1040000</v>
      </c>
      <c r="E19" s="290">
        <f t="shared" si="13"/>
        <v>1066000</v>
      </c>
      <c r="F19" s="290">
        <f t="shared" si="14"/>
        <v>1092650</v>
      </c>
      <c r="G19" s="290">
        <f t="shared" si="7"/>
        <v>1119966.25</v>
      </c>
      <c r="H19" s="290">
        <f t="shared" si="8"/>
        <v>1147965.40625</v>
      </c>
      <c r="I19" s="290">
        <f t="shared" si="9"/>
        <v>1176664.5414062499</v>
      </c>
      <c r="J19" s="290">
        <f t="shared" si="10"/>
        <v>1206081.154941406</v>
      </c>
      <c r="K19" s="290">
        <f t="shared" si="11"/>
        <v>1236233.1838149412</v>
      </c>
      <c r="L19" s="290">
        <f t="shared" si="12"/>
        <v>1267139.0134103147</v>
      </c>
    </row>
    <row r="20" spans="1:12" s="28" customFormat="1" ht="12">
      <c r="A20" s="292" t="s">
        <v>9</v>
      </c>
      <c r="B20" s="293" t="s">
        <v>319</v>
      </c>
      <c r="C20" s="290">
        <f>SUM(C21:C22)</f>
        <v>5235000</v>
      </c>
      <c r="D20" s="290">
        <f t="shared" si="4"/>
        <v>5444400</v>
      </c>
      <c r="E20" s="290">
        <f t="shared" si="13"/>
        <v>5580509.999999999</v>
      </c>
      <c r="F20" s="290">
        <f t="shared" si="14"/>
        <v>5720022.749999998</v>
      </c>
      <c r="G20" s="290">
        <f t="shared" si="7"/>
        <v>5863023.318749998</v>
      </c>
      <c r="H20" s="290">
        <f t="shared" si="8"/>
        <v>6009598.901718747</v>
      </c>
      <c r="I20" s="290">
        <f t="shared" si="9"/>
        <v>6159838.874261715</v>
      </c>
      <c r="J20" s="290">
        <f t="shared" si="10"/>
        <v>6313834.846118257</v>
      </c>
      <c r="K20" s="290">
        <f t="shared" si="11"/>
        <v>6471680.717271213</v>
      </c>
      <c r="L20" s="290">
        <f t="shared" si="12"/>
        <v>6633472.735202993</v>
      </c>
    </row>
    <row r="21" spans="1:12" s="28" customFormat="1" ht="12">
      <c r="A21" s="292" t="s">
        <v>10</v>
      </c>
      <c r="B21" s="293" t="s">
        <v>320</v>
      </c>
      <c r="C21" s="294">
        <v>5000000</v>
      </c>
      <c r="D21" s="290">
        <f t="shared" si="4"/>
        <v>5200000</v>
      </c>
      <c r="E21" s="290">
        <f t="shared" si="13"/>
        <v>5330000</v>
      </c>
      <c r="F21" s="290">
        <f t="shared" si="14"/>
        <v>5463249.999999999</v>
      </c>
      <c r="G21" s="290">
        <f t="shared" si="7"/>
        <v>5599831.249999998</v>
      </c>
      <c r="H21" s="290">
        <f t="shared" si="8"/>
        <v>5739827.031249997</v>
      </c>
      <c r="I21" s="290">
        <f t="shared" si="9"/>
        <v>5883322.707031246</v>
      </c>
      <c r="J21" s="290">
        <f t="shared" si="10"/>
        <v>6030405.774707027</v>
      </c>
      <c r="K21" s="290">
        <f t="shared" si="11"/>
        <v>6181165.919074702</v>
      </c>
      <c r="L21" s="290">
        <f t="shared" si="12"/>
        <v>6335695.067051569</v>
      </c>
    </row>
    <row r="22" spans="1:12" s="28" customFormat="1" ht="24">
      <c r="A22" s="292" t="s">
        <v>11</v>
      </c>
      <c r="B22" s="293" t="s">
        <v>321</v>
      </c>
      <c r="C22" s="294">
        <v>235000</v>
      </c>
      <c r="D22" s="290">
        <f t="shared" si="4"/>
        <v>244400</v>
      </c>
      <c r="E22" s="290">
        <f t="shared" si="13"/>
        <v>250509.99999999997</v>
      </c>
      <c r="F22" s="290">
        <f t="shared" si="14"/>
        <v>256772.74999999994</v>
      </c>
      <c r="G22" s="290">
        <f t="shared" si="7"/>
        <v>263192.0687499999</v>
      </c>
      <c r="H22" s="290">
        <f t="shared" si="8"/>
        <v>269771.8704687499</v>
      </c>
      <c r="I22" s="290">
        <f t="shared" si="9"/>
        <v>276516.1672304686</v>
      </c>
      <c r="J22" s="290">
        <f t="shared" si="10"/>
        <v>283429.0714112303</v>
      </c>
      <c r="K22" s="290">
        <f t="shared" si="11"/>
        <v>290514.79819651105</v>
      </c>
      <c r="L22" s="290">
        <f t="shared" si="12"/>
        <v>297777.6681514238</v>
      </c>
    </row>
    <row r="23" spans="1:12" s="28" customFormat="1" ht="12">
      <c r="A23" s="292" t="s">
        <v>12</v>
      </c>
      <c r="B23" s="293" t="s">
        <v>322</v>
      </c>
      <c r="C23" s="290">
        <v>1000</v>
      </c>
      <c r="D23" s="290">
        <f t="shared" si="4"/>
        <v>1040</v>
      </c>
      <c r="E23" s="290">
        <f t="shared" si="13"/>
        <v>1066</v>
      </c>
      <c r="F23" s="290">
        <f t="shared" si="14"/>
        <v>1092.6499999999999</v>
      </c>
      <c r="G23" s="290">
        <f t="shared" si="7"/>
        <v>1119.9662499999997</v>
      </c>
      <c r="H23" s="290">
        <f t="shared" si="8"/>
        <v>1147.9654062499997</v>
      </c>
      <c r="I23" s="290">
        <f t="shared" si="9"/>
        <v>1176.6645414062496</v>
      </c>
      <c r="J23" s="290">
        <f t="shared" si="10"/>
        <v>1206.0811549414057</v>
      </c>
      <c r="K23" s="290">
        <f t="shared" si="11"/>
        <v>1236.2331838149407</v>
      </c>
      <c r="L23" s="290">
        <f t="shared" si="12"/>
        <v>1267.1390134103142</v>
      </c>
    </row>
    <row r="24" spans="1:12" s="28" customFormat="1" ht="12">
      <c r="A24" s="292" t="s">
        <v>13</v>
      </c>
      <c r="B24" s="293" t="s">
        <v>323</v>
      </c>
      <c r="C24" s="294">
        <v>6000000</v>
      </c>
      <c r="D24" s="290">
        <f t="shared" si="4"/>
        <v>6240000</v>
      </c>
      <c r="E24" s="290">
        <f t="shared" si="13"/>
        <v>6395999.999999999</v>
      </c>
      <c r="F24" s="290">
        <f t="shared" si="14"/>
        <v>6555899.999999998</v>
      </c>
      <c r="G24" s="290">
        <f t="shared" si="7"/>
        <v>6719797.499999997</v>
      </c>
      <c r="H24" s="290">
        <f t="shared" si="8"/>
        <v>6887792.437499996</v>
      </c>
      <c r="I24" s="290">
        <f t="shared" si="9"/>
        <v>7059987.248437496</v>
      </c>
      <c r="J24" s="290">
        <f t="shared" si="10"/>
        <v>7236486.929648433</v>
      </c>
      <c r="K24" s="290">
        <f t="shared" si="11"/>
        <v>7417399.102889643</v>
      </c>
      <c r="L24" s="290">
        <f t="shared" si="12"/>
        <v>7602834.080461884</v>
      </c>
    </row>
    <row r="25" spans="1:12" s="28" customFormat="1" ht="12">
      <c r="A25" s="292" t="s">
        <v>14</v>
      </c>
      <c r="B25" s="293" t="s">
        <v>324</v>
      </c>
      <c r="C25" s="294">
        <v>150000000</v>
      </c>
      <c r="D25" s="290">
        <f t="shared" si="4"/>
        <v>156000000</v>
      </c>
      <c r="E25" s="290">
        <f t="shared" si="13"/>
        <v>159900000</v>
      </c>
      <c r="F25" s="290">
        <f t="shared" si="14"/>
        <v>163897500</v>
      </c>
      <c r="G25" s="290">
        <f t="shared" si="7"/>
        <v>167994937.5</v>
      </c>
      <c r="H25" s="290">
        <f t="shared" si="8"/>
        <v>172194810.93749997</v>
      </c>
      <c r="I25" s="290">
        <f t="shared" si="9"/>
        <v>176499681.21093744</v>
      </c>
      <c r="J25" s="290">
        <f t="shared" si="10"/>
        <v>180912173.24121085</v>
      </c>
      <c r="K25" s="290">
        <f t="shared" si="11"/>
        <v>185434977.5722411</v>
      </c>
      <c r="L25" s="290">
        <f t="shared" si="12"/>
        <v>190070852.01154712</v>
      </c>
    </row>
    <row r="26" spans="1:12" s="28" customFormat="1" ht="12">
      <c r="A26" s="292" t="s">
        <v>15</v>
      </c>
      <c r="B26" s="293" t="s">
        <v>325</v>
      </c>
      <c r="C26" s="290">
        <f>SUM(C27:C28)</f>
        <v>40000000</v>
      </c>
      <c r="D26" s="290">
        <f t="shared" si="4"/>
        <v>41600000</v>
      </c>
      <c r="E26" s="290">
        <f t="shared" si="13"/>
        <v>42640000</v>
      </c>
      <c r="F26" s="290">
        <f t="shared" si="14"/>
        <v>43705999.99999999</v>
      </c>
      <c r="G26" s="290">
        <f t="shared" si="7"/>
        <v>44798649.999999985</v>
      </c>
      <c r="H26" s="290">
        <f t="shared" si="8"/>
        <v>45918616.24999998</v>
      </c>
      <c r="I26" s="290">
        <f t="shared" si="9"/>
        <v>47066581.65624997</v>
      </c>
      <c r="J26" s="290">
        <f t="shared" si="10"/>
        <v>48243246.197656214</v>
      </c>
      <c r="K26" s="290">
        <f t="shared" si="11"/>
        <v>49449327.35259762</v>
      </c>
      <c r="L26" s="290">
        <f t="shared" si="12"/>
        <v>50685560.53641255</v>
      </c>
    </row>
    <row r="27" spans="1:12" s="28" customFormat="1" ht="24" hidden="1">
      <c r="A27" s="292" t="s">
        <v>16</v>
      </c>
      <c r="B27" s="293" t="s">
        <v>326</v>
      </c>
      <c r="C27" s="294">
        <v>20000000</v>
      </c>
      <c r="D27" s="290">
        <f t="shared" si="4"/>
        <v>20800000</v>
      </c>
      <c r="E27" s="290">
        <f t="shared" si="13"/>
        <v>21320000</v>
      </c>
      <c r="F27" s="290">
        <f t="shared" si="14"/>
        <v>21852999.999999996</v>
      </c>
      <c r="G27" s="290">
        <f t="shared" si="7"/>
        <v>22399324.999999993</v>
      </c>
      <c r="H27" s="290">
        <f t="shared" si="8"/>
        <v>22959308.12499999</v>
      </c>
      <c r="I27" s="290">
        <f t="shared" si="9"/>
        <v>23533290.828124985</v>
      </c>
      <c r="J27" s="290">
        <f t="shared" si="10"/>
        <v>24121623.098828107</v>
      </c>
      <c r="K27" s="290">
        <f t="shared" si="11"/>
        <v>24724663.67629881</v>
      </c>
      <c r="L27" s="290">
        <f t="shared" si="12"/>
        <v>25342780.268206276</v>
      </c>
    </row>
    <row r="28" spans="1:12" s="28" customFormat="1" ht="12" hidden="1">
      <c r="A28" s="292" t="s">
        <v>715</v>
      </c>
      <c r="B28" s="293" t="s">
        <v>327</v>
      </c>
      <c r="C28" s="294">
        <v>20000000</v>
      </c>
      <c r="D28" s="290">
        <f t="shared" si="4"/>
        <v>20800000</v>
      </c>
      <c r="E28" s="290">
        <f t="shared" si="13"/>
        <v>21320000</v>
      </c>
      <c r="F28" s="290">
        <f t="shared" si="14"/>
        <v>21852999.999999996</v>
      </c>
      <c r="G28" s="290">
        <f t="shared" si="7"/>
        <v>22399324.999999993</v>
      </c>
      <c r="H28" s="290">
        <f t="shared" si="8"/>
        <v>22959308.12499999</v>
      </c>
      <c r="I28" s="290">
        <f t="shared" si="9"/>
        <v>23533290.828124985</v>
      </c>
      <c r="J28" s="290">
        <f t="shared" si="10"/>
        <v>24121623.098828107</v>
      </c>
      <c r="K28" s="290">
        <f t="shared" si="11"/>
        <v>24724663.67629881</v>
      </c>
      <c r="L28" s="290">
        <f t="shared" si="12"/>
        <v>25342780.268206276</v>
      </c>
    </row>
    <row r="29" spans="1:12" s="28" customFormat="1" ht="24">
      <c r="A29" s="292" t="s">
        <v>17</v>
      </c>
      <c r="B29" s="293" t="s">
        <v>328</v>
      </c>
      <c r="C29" s="290">
        <v>30000000</v>
      </c>
      <c r="D29" s="290">
        <f t="shared" si="4"/>
        <v>31200000</v>
      </c>
      <c r="E29" s="290">
        <f t="shared" si="13"/>
        <v>31979999.999999996</v>
      </c>
      <c r="F29" s="290">
        <f t="shared" si="14"/>
        <v>32779499.999999993</v>
      </c>
      <c r="G29" s="290">
        <f t="shared" si="7"/>
        <v>33598987.49999999</v>
      </c>
      <c r="H29" s="290">
        <f t="shared" si="8"/>
        <v>34438962.18749999</v>
      </c>
      <c r="I29" s="290">
        <f t="shared" si="9"/>
        <v>35299936.24218749</v>
      </c>
      <c r="J29" s="290">
        <f t="shared" si="10"/>
        <v>36182434.648242176</v>
      </c>
      <c r="K29" s="290">
        <f t="shared" si="11"/>
        <v>37086995.514448225</v>
      </c>
      <c r="L29" s="290">
        <f t="shared" si="12"/>
        <v>38014170.402309425</v>
      </c>
    </row>
    <row r="30" spans="1:12" s="28" customFormat="1" ht="24">
      <c r="A30" s="292" t="s">
        <v>18</v>
      </c>
      <c r="B30" s="293" t="s">
        <v>329</v>
      </c>
      <c r="C30" s="294">
        <v>9000000</v>
      </c>
      <c r="D30" s="290">
        <f t="shared" si="4"/>
        <v>9360000</v>
      </c>
      <c r="E30" s="290">
        <f t="shared" si="13"/>
        <v>9594000</v>
      </c>
      <c r="F30" s="290">
        <f t="shared" si="14"/>
        <v>9833850</v>
      </c>
      <c r="G30" s="290">
        <f t="shared" si="7"/>
        <v>10079696.25</v>
      </c>
      <c r="H30" s="290">
        <f t="shared" si="8"/>
        <v>10331688.65625</v>
      </c>
      <c r="I30" s="290">
        <f t="shared" si="9"/>
        <v>10589980.872656249</v>
      </c>
      <c r="J30" s="290">
        <f t="shared" si="10"/>
        <v>10854730.394472653</v>
      </c>
      <c r="K30" s="290">
        <f t="shared" si="11"/>
        <v>11126098.654334469</v>
      </c>
      <c r="L30" s="290">
        <f t="shared" si="12"/>
        <v>11404251.120692829</v>
      </c>
    </row>
    <row r="31" spans="1:12" s="28" customFormat="1" ht="12">
      <c r="A31" s="292" t="s">
        <v>397</v>
      </c>
      <c r="B31" s="293" t="s">
        <v>330</v>
      </c>
      <c r="C31" s="294">
        <f>+C32</f>
        <v>17000000</v>
      </c>
      <c r="D31" s="290">
        <f t="shared" si="4"/>
        <v>17680000</v>
      </c>
      <c r="E31" s="290">
        <f t="shared" si="13"/>
        <v>18122000</v>
      </c>
      <c r="F31" s="290">
        <f t="shared" si="14"/>
        <v>18575050</v>
      </c>
      <c r="G31" s="290">
        <f t="shared" si="7"/>
        <v>19039426.25</v>
      </c>
      <c r="H31" s="290">
        <f t="shared" si="8"/>
        <v>19515411.90625</v>
      </c>
      <c r="I31" s="290">
        <f t="shared" si="9"/>
        <v>20003297.20390625</v>
      </c>
      <c r="J31" s="290">
        <f t="shared" si="10"/>
        <v>20503379.634003904</v>
      </c>
      <c r="K31" s="290">
        <f t="shared" si="11"/>
        <v>21015964.124854</v>
      </c>
      <c r="L31" s="290">
        <f t="shared" si="12"/>
        <v>21541363.227975346</v>
      </c>
    </row>
    <row r="32" spans="1:12" s="28" customFormat="1" ht="12" hidden="1">
      <c r="A32" s="292" t="s">
        <v>398</v>
      </c>
      <c r="B32" s="293" t="s">
        <v>399</v>
      </c>
      <c r="C32" s="294">
        <v>17000000</v>
      </c>
      <c r="D32" s="290">
        <f t="shared" si="4"/>
        <v>17680000</v>
      </c>
      <c r="E32" s="290">
        <f t="shared" si="13"/>
        <v>18122000</v>
      </c>
      <c r="F32" s="290">
        <f t="shared" si="14"/>
        <v>18575050</v>
      </c>
      <c r="G32" s="290">
        <f t="shared" si="7"/>
        <v>19039426.25</v>
      </c>
      <c r="H32" s="290">
        <f t="shared" si="8"/>
        <v>19515411.90625</v>
      </c>
      <c r="I32" s="290">
        <f t="shared" si="9"/>
        <v>20003297.20390625</v>
      </c>
      <c r="J32" s="290">
        <f t="shared" si="10"/>
        <v>20503379.634003904</v>
      </c>
      <c r="K32" s="290">
        <f t="shared" si="11"/>
        <v>21015964.124854</v>
      </c>
      <c r="L32" s="290">
        <f t="shared" si="12"/>
        <v>21541363.227975346</v>
      </c>
    </row>
    <row r="33" spans="1:12" s="291" customFormat="1" ht="12">
      <c r="A33" s="287" t="s">
        <v>19</v>
      </c>
      <c r="B33" s="288" t="s">
        <v>331</v>
      </c>
      <c r="C33" s="290">
        <f>+C34+C39+C46+C48+C76</f>
        <v>5322264000</v>
      </c>
      <c r="D33" s="290">
        <f t="shared" si="4"/>
        <v>5535154560</v>
      </c>
      <c r="E33" s="290">
        <f t="shared" si="13"/>
        <v>5673533423.999999</v>
      </c>
      <c r="F33" s="290">
        <f aca="true" t="shared" si="15" ref="F33:L38">+E33*1.025</f>
        <v>5815371759.599998</v>
      </c>
      <c r="G33" s="290">
        <f t="shared" si="15"/>
        <v>5960756053.589998</v>
      </c>
      <c r="H33" s="290">
        <f t="shared" si="15"/>
        <v>6109774954.929748</v>
      </c>
      <c r="I33" s="290">
        <f t="shared" si="15"/>
        <v>6262519328.802991</v>
      </c>
      <c r="J33" s="290">
        <f t="shared" si="15"/>
        <v>6419082312.023066</v>
      </c>
      <c r="K33" s="290">
        <f t="shared" si="15"/>
        <v>6579559369.823642</v>
      </c>
      <c r="L33" s="290">
        <f t="shared" si="15"/>
        <v>6744048354.069232</v>
      </c>
    </row>
    <row r="34" spans="1:12" s="28" customFormat="1" ht="12">
      <c r="A34" s="292" t="s">
        <v>20</v>
      </c>
      <c r="B34" s="293" t="s">
        <v>332</v>
      </c>
      <c r="C34" s="290">
        <f>+C35+C37+C38</f>
        <v>34569000</v>
      </c>
      <c r="D34" s="290">
        <f t="shared" si="4"/>
        <v>35951760</v>
      </c>
      <c r="E34" s="290">
        <f t="shared" si="13"/>
        <v>36850554</v>
      </c>
      <c r="F34" s="290">
        <f t="shared" si="15"/>
        <v>37771817.849999994</v>
      </c>
      <c r="G34" s="290">
        <f t="shared" si="15"/>
        <v>38716113.29624999</v>
      </c>
      <c r="H34" s="290">
        <f t="shared" si="15"/>
        <v>39684016.12865624</v>
      </c>
      <c r="I34" s="290">
        <f t="shared" si="15"/>
        <v>40676116.53187264</v>
      </c>
      <c r="J34" s="290">
        <f t="shared" si="15"/>
        <v>41693019.44516945</v>
      </c>
      <c r="K34" s="290">
        <f t="shared" si="15"/>
        <v>42735344.93129868</v>
      </c>
      <c r="L34" s="290">
        <f t="shared" si="15"/>
        <v>43803728.55458114</v>
      </c>
    </row>
    <row r="35" spans="1:12" s="28" customFormat="1" ht="36">
      <c r="A35" s="292" t="s">
        <v>21</v>
      </c>
      <c r="B35" s="293" t="s">
        <v>333</v>
      </c>
      <c r="C35" s="290">
        <f>+C36</f>
        <v>17000000</v>
      </c>
      <c r="D35" s="290">
        <f t="shared" si="4"/>
        <v>17680000</v>
      </c>
      <c r="E35" s="290">
        <f t="shared" si="13"/>
        <v>18122000</v>
      </c>
      <c r="F35" s="290">
        <f t="shared" si="15"/>
        <v>18575050</v>
      </c>
      <c r="G35" s="290">
        <f t="shared" si="15"/>
        <v>19039426.25</v>
      </c>
      <c r="H35" s="290">
        <f t="shared" si="15"/>
        <v>19515411.90625</v>
      </c>
      <c r="I35" s="290">
        <f t="shared" si="15"/>
        <v>20003297.20390625</v>
      </c>
      <c r="J35" s="290">
        <f t="shared" si="15"/>
        <v>20503379.634003904</v>
      </c>
      <c r="K35" s="290">
        <f t="shared" si="15"/>
        <v>21015964.124854</v>
      </c>
      <c r="L35" s="290">
        <f t="shared" si="15"/>
        <v>21541363.227975346</v>
      </c>
    </row>
    <row r="36" spans="1:12" s="28" customFormat="1" ht="12" hidden="1">
      <c r="A36" s="292" t="s">
        <v>22</v>
      </c>
      <c r="B36" s="293" t="s">
        <v>334</v>
      </c>
      <c r="C36" s="290">
        <v>17000000</v>
      </c>
      <c r="D36" s="290">
        <f t="shared" si="4"/>
        <v>17680000</v>
      </c>
      <c r="E36" s="290">
        <f t="shared" si="13"/>
        <v>18122000</v>
      </c>
      <c r="F36" s="290">
        <f t="shared" si="15"/>
        <v>18575050</v>
      </c>
      <c r="G36" s="290">
        <f t="shared" si="15"/>
        <v>19039426.25</v>
      </c>
      <c r="H36" s="290">
        <f t="shared" si="15"/>
        <v>19515411.90625</v>
      </c>
      <c r="I36" s="290">
        <f t="shared" si="15"/>
        <v>20003297.20390625</v>
      </c>
      <c r="J36" s="290">
        <f t="shared" si="15"/>
        <v>20503379.634003904</v>
      </c>
      <c r="K36" s="290">
        <f t="shared" si="15"/>
        <v>21015964.124854</v>
      </c>
      <c r="L36" s="290">
        <f t="shared" si="15"/>
        <v>21541363.227975346</v>
      </c>
    </row>
    <row r="37" spans="1:12" s="28" customFormat="1" ht="12">
      <c r="A37" s="292" t="s">
        <v>23</v>
      </c>
      <c r="B37" s="293" t="s">
        <v>335</v>
      </c>
      <c r="C37" s="290">
        <v>7569000</v>
      </c>
      <c r="D37" s="290">
        <f t="shared" si="4"/>
        <v>7871760</v>
      </c>
      <c r="E37" s="290">
        <f t="shared" si="13"/>
        <v>8068553.999999999</v>
      </c>
      <c r="F37" s="290">
        <f t="shared" si="15"/>
        <v>8270267.849999999</v>
      </c>
      <c r="G37" s="290">
        <f t="shared" si="15"/>
        <v>8477024.546249999</v>
      </c>
      <c r="H37" s="290">
        <f t="shared" si="15"/>
        <v>8688950.159906248</v>
      </c>
      <c r="I37" s="290">
        <f t="shared" si="15"/>
        <v>8906173.913903903</v>
      </c>
      <c r="J37" s="290">
        <f t="shared" si="15"/>
        <v>9128828.2617515</v>
      </c>
      <c r="K37" s="290">
        <f t="shared" si="15"/>
        <v>9357048.968295287</v>
      </c>
      <c r="L37" s="290">
        <f t="shared" si="15"/>
        <v>9590975.192502668</v>
      </c>
    </row>
    <row r="38" spans="1:12" s="28" customFormat="1" ht="24">
      <c r="A38" s="292" t="s">
        <v>24</v>
      </c>
      <c r="B38" s="293" t="s">
        <v>337</v>
      </c>
      <c r="C38" s="290">
        <v>10000000</v>
      </c>
      <c r="D38" s="290">
        <f t="shared" si="4"/>
        <v>10400000</v>
      </c>
      <c r="E38" s="290">
        <f t="shared" si="13"/>
        <v>10660000</v>
      </c>
      <c r="F38" s="290">
        <f t="shared" si="15"/>
        <v>10926499.999999998</v>
      </c>
      <c r="G38" s="290">
        <f t="shared" si="15"/>
        <v>11199662.499999996</v>
      </c>
      <c r="H38" s="290">
        <f t="shared" si="15"/>
        <v>11479654.062499994</v>
      </c>
      <c r="I38" s="290">
        <f t="shared" si="15"/>
        <v>11766645.414062493</v>
      </c>
      <c r="J38" s="290">
        <f t="shared" si="15"/>
        <v>12060811.549414054</v>
      </c>
      <c r="K38" s="290">
        <f t="shared" si="15"/>
        <v>12362331.838149404</v>
      </c>
      <c r="L38" s="290">
        <f t="shared" si="15"/>
        <v>12671390.134103138</v>
      </c>
    </row>
    <row r="39" spans="1:12" s="28" customFormat="1" ht="12">
      <c r="A39" s="292" t="s">
        <v>25</v>
      </c>
      <c r="B39" s="293" t="s">
        <v>338</v>
      </c>
      <c r="C39" s="290">
        <f>+C40+C41+C43</f>
        <v>66302000</v>
      </c>
      <c r="D39" s="290">
        <f t="shared" si="4"/>
        <v>68954080</v>
      </c>
      <c r="E39" s="290">
        <f t="shared" si="13"/>
        <v>70677932</v>
      </c>
      <c r="F39" s="290">
        <f aca="true" t="shared" si="16" ref="F39:L39">+F40+F41+F43</f>
        <v>72444880.29999998</v>
      </c>
      <c r="G39" s="290">
        <f t="shared" si="16"/>
        <v>74256002.30749997</v>
      </c>
      <c r="H39" s="290">
        <f t="shared" si="16"/>
        <v>76112402.36518747</v>
      </c>
      <c r="I39" s="290">
        <f t="shared" si="16"/>
        <v>78015212.42431714</v>
      </c>
      <c r="J39" s="290">
        <f t="shared" si="16"/>
        <v>79965592.73492506</v>
      </c>
      <c r="K39" s="290">
        <f t="shared" si="16"/>
        <v>81964732.55329818</v>
      </c>
      <c r="L39" s="290">
        <f t="shared" si="16"/>
        <v>84013850.86713062</v>
      </c>
    </row>
    <row r="40" spans="1:12" s="28" customFormat="1" ht="12">
      <c r="A40" s="292" t="s">
        <v>26</v>
      </c>
      <c r="B40" s="293" t="s">
        <v>339</v>
      </c>
      <c r="C40" s="294">
        <v>41000000</v>
      </c>
      <c r="D40" s="290">
        <f t="shared" si="4"/>
        <v>42640000</v>
      </c>
      <c r="E40" s="290">
        <f t="shared" si="13"/>
        <v>43705999.99999999</v>
      </c>
      <c r="F40" s="290">
        <f aca="true" t="shared" si="17" ref="F40:F47">+E40*1.025</f>
        <v>44798649.999999985</v>
      </c>
      <c r="G40" s="290">
        <f aca="true" t="shared" si="18" ref="G40:G47">+F40*1.025</f>
        <v>45918616.24999998</v>
      </c>
      <c r="H40" s="290">
        <f aca="true" t="shared" si="19" ref="H40:H47">+G40*1.025</f>
        <v>47066581.65624997</v>
      </c>
      <c r="I40" s="290">
        <f aca="true" t="shared" si="20" ref="I40:I47">+H40*1.025</f>
        <v>48243246.197656214</v>
      </c>
      <c r="J40" s="290">
        <f aca="true" t="shared" si="21" ref="J40:J47">+I40*1.025</f>
        <v>49449327.35259762</v>
      </c>
      <c r="K40" s="290">
        <f aca="true" t="shared" si="22" ref="K40:K47">+J40*1.025</f>
        <v>50685560.53641255</v>
      </c>
      <c r="L40" s="290">
        <f aca="true" t="shared" si="23" ref="L40:L47">+K40*1.025</f>
        <v>51952699.54982286</v>
      </c>
    </row>
    <row r="41" spans="1:12" s="28" customFormat="1" ht="12">
      <c r="A41" s="292" t="s">
        <v>27</v>
      </c>
      <c r="B41" s="293" t="s">
        <v>340</v>
      </c>
      <c r="C41" s="290">
        <v>301000</v>
      </c>
      <c r="D41" s="290">
        <f t="shared" si="4"/>
        <v>313040</v>
      </c>
      <c r="E41" s="290">
        <f t="shared" si="13"/>
        <v>320866</v>
      </c>
      <c r="F41" s="290">
        <f t="shared" si="17"/>
        <v>328887.64999999997</v>
      </c>
      <c r="G41" s="290">
        <f t="shared" si="18"/>
        <v>337109.84124999994</v>
      </c>
      <c r="H41" s="290">
        <f t="shared" si="19"/>
        <v>345537.58728124993</v>
      </c>
      <c r="I41" s="290">
        <f t="shared" si="20"/>
        <v>354176.02696328115</v>
      </c>
      <c r="J41" s="290">
        <f t="shared" si="21"/>
        <v>363030.42763736314</v>
      </c>
      <c r="K41" s="290">
        <f t="shared" si="22"/>
        <v>372106.18832829717</v>
      </c>
      <c r="L41" s="290">
        <f t="shared" si="23"/>
        <v>381408.8430365046</v>
      </c>
    </row>
    <row r="42" spans="1:12" s="28" customFormat="1" ht="12" hidden="1">
      <c r="A42" s="292" t="s">
        <v>28</v>
      </c>
      <c r="B42" s="293" t="s">
        <v>341</v>
      </c>
      <c r="C42" s="294">
        <v>100000</v>
      </c>
      <c r="D42" s="290">
        <f t="shared" si="4"/>
        <v>104000</v>
      </c>
      <c r="E42" s="290">
        <f t="shared" si="13"/>
        <v>106599.99999999999</v>
      </c>
      <c r="F42" s="290">
        <f t="shared" si="17"/>
        <v>109264.99999999997</v>
      </c>
      <c r="G42" s="290">
        <f t="shared" si="18"/>
        <v>111996.62499999996</v>
      </c>
      <c r="H42" s="290">
        <f t="shared" si="19"/>
        <v>114796.54062499995</v>
      </c>
      <c r="I42" s="290">
        <f t="shared" si="20"/>
        <v>117666.45414062493</v>
      </c>
      <c r="J42" s="290">
        <f t="shared" si="21"/>
        <v>120608.11549414054</v>
      </c>
      <c r="K42" s="290">
        <f t="shared" si="22"/>
        <v>123623.31838149404</v>
      </c>
      <c r="L42" s="290">
        <f t="shared" si="23"/>
        <v>126713.90134103138</v>
      </c>
    </row>
    <row r="43" spans="1:12" s="28" customFormat="1" ht="12">
      <c r="A43" s="292" t="s">
        <v>29</v>
      </c>
      <c r="B43" s="293" t="s">
        <v>342</v>
      </c>
      <c r="C43" s="290">
        <f>+C44+C45</f>
        <v>25001000</v>
      </c>
      <c r="D43" s="290">
        <f t="shared" si="4"/>
        <v>26001040</v>
      </c>
      <c r="E43" s="290">
        <f t="shared" si="13"/>
        <v>26651065.999999996</v>
      </c>
      <c r="F43" s="290">
        <f t="shared" si="17"/>
        <v>27317342.649999995</v>
      </c>
      <c r="G43" s="290">
        <f t="shared" si="18"/>
        <v>28000276.21624999</v>
      </c>
      <c r="H43" s="290">
        <f t="shared" si="19"/>
        <v>28700283.12165624</v>
      </c>
      <c r="I43" s="290">
        <f t="shared" si="20"/>
        <v>29417790.199697644</v>
      </c>
      <c r="J43" s="290">
        <f t="shared" si="21"/>
        <v>30153234.95469008</v>
      </c>
      <c r="K43" s="290">
        <f t="shared" si="22"/>
        <v>30907065.82855733</v>
      </c>
      <c r="L43" s="290">
        <f t="shared" si="23"/>
        <v>31679742.47427126</v>
      </c>
    </row>
    <row r="44" spans="1:12" s="28" customFormat="1" ht="12" hidden="1">
      <c r="A44" s="292" t="s">
        <v>30</v>
      </c>
      <c r="B44" s="293" t="s">
        <v>343</v>
      </c>
      <c r="C44" s="294">
        <v>25000000</v>
      </c>
      <c r="D44" s="290">
        <f t="shared" si="4"/>
        <v>26000000</v>
      </c>
      <c r="E44" s="290">
        <f t="shared" si="13"/>
        <v>26649999.999999996</v>
      </c>
      <c r="F44" s="290">
        <f t="shared" si="17"/>
        <v>27316249.999999993</v>
      </c>
      <c r="G44" s="290">
        <f t="shared" si="18"/>
        <v>27999156.24999999</v>
      </c>
      <c r="H44" s="290">
        <f t="shared" si="19"/>
        <v>28699135.156249985</v>
      </c>
      <c r="I44" s="290">
        <f t="shared" si="20"/>
        <v>29416613.53515623</v>
      </c>
      <c r="J44" s="290">
        <f t="shared" si="21"/>
        <v>30152028.873535134</v>
      </c>
      <c r="K44" s="290">
        <f t="shared" si="22"/>
        <v>30905829.59537351</v>
      </c>
      <c r="L44" s="290">
        <f t="shared" si="23"/>
        <v>31678475.335257847</v>
      </c>
    </row>
    <row r="45" spans="1:12" s="28" customFormat="1" ht="12" hidden="1">
      <c r="A45" s="292" t="s">
        <v>31</v>
      </c>
      <c r="B45" s="293" t="s">
        <v>344</v>
      </c>
      <c r="C45" s="290">
        <v>1000</v>
      </c>
      <c r="D45" s="290">
        <f t="shared" si="4"/>
        <v>1040</v>
      </c>
      <c r="E45" s="290">
        <f aca="true" t="shared" si="24" ref="E45:E76">+D45*1.025</f>
        <v>1066</v>
      </c>
      <c r="F45" s="290">
        <f t="shared" si="17"/>
        <v>1092.6499999999999</v>
      </c>
      <c r="G45" s="290">
        <f t="shared" si="18"/>
        <v>1119.9662499999997</v>
      </c>
      <c r="H45" s="290">
        <f t="shared" si="19"/>
        <v>1147.9654062499997</v>
      </c>
      <c r="I45" s="290">
        <f t="shared" si="20"/>
        <v>1176.6645414062496</v>
      </c>
      <c r="J45" s="290">
        <f t="shared" si="21"/>
        <v>1206.0811549414057</v>
      </c>
      <c r="K45" s="290">
        <f t="shared" si="22"/>
        <v>1236.2331838149407</v>
      </c>
      <c r="L45" s="290">
        <f t="shared" si="23"/>
        <v>1267.1390134103142</v>
      </c>
    </row>
    <row r="46" spans="1:12" s="28" customFormat="1" ht="12">
      <c r="A46" s="292" t="s">
        <v>32</v>
      </c>
      <c r="B46" s="293" t="s">
        <v>345</v>
      </c>
      <c r="C46" s="290">
        <f>+C47</f>
        <v>5000000</v>
      </c>
      <c r="D46" s="290">
        <f t="shared" si="4"/>
        <v>5200000</v>
      </c>
      <c r="E46" s="290">
        <f t="shared" si="24"/>
        <v>5330000</v>
      </c>
      <c r="F46" s="290">
        <f t="shared" si="17"/>
        <v>5463249.999999999</v>
      </c>
      <c r="G46" s="290">
        <f t="shared" si="18"/>
        <v>5599831.249999998</v>
      </c>
      <c r="H46" s="290">
        <f t="shared" si="19"/>
        <v>5739827.031249997</v>
      </c>
      <c r="I46" s="290">
        <f t="shared" si="20"/>
        <v>5883322.707031246</v>
      </c>
      <c r="J46" s="290">
        <f t="shared" si="21"/>
        <v>6030405.774707027</v>
      </c>
      <c r="K46" s="290">
        <f t="shared" si="22"/>
        <v>6181165.919074702</v>
      </c>
      <c r="L46" s="290">
        <f t="shared" si="23"/>
        <v>6335695.067051569</v>
      </c>
    </row>
    <row r="47" spans="1:12" s="28" customFormat="1" ht="12">
      <c r="A47" s="292" t="s">
        <v>33</v>
      </c>
      <c r="B47" s="293" t="s">
        <v>346</v>
      </c>
      <c r="C47" s="294">
        <v>5000000</v>
      </c>
      <c r="D47" s="290">
        <f t="shared" si="4"/>
        <v>5200000</v>
      </c>
      <c r="E47" s="290">
        <f t="shared" si="24"/>
        <v>5330000</v>
      </c>
      <c r="F47" s="290">
        <f t="shared" si="17"/>
        <v>5463249.999999999</v>
      </c>
      <c r="G47" s="290">
        <f t="shared" si="18"/>
        <v>5599831.249999998</v>
      </c>
      <c r="H47" s="290">
        <f t="shared" si="19"/>
        <v>5739827.031249997</v>
      </c>
      <c r="I47" s="290">
        <f t="shared" si="20"/>
        <v>5883322.707031246</v>
      </c>
      <c r="J47" s="290">
        <f t="shared" si="21"/>
        <v>6030405.774707027</v>
      </c>
      <c r="K47" s="290">
        <f t="shared" si="22"/>
        <v>6181165.919074702</v>
      </c>
      <c r="L47" s="290">
        <f t="shared" si="23"/>
        <v>6335695.067051569</v>
      </c>
    </row>
    <row r="48" spans="1:12" s="291" customFormat="1" ht="12">
      <c r="A48" s="287" t="s">
        <v>34</v>
      </c>
      <c r="B48" s="288" t="s">
        <v>347</v>
      </c>
      <c r="C48" s="290">
        <f>+C49+C59</f>
        <v>5205637042</v>
      </c>
      <c r="D48" s="290">
        <f t="shared" si="4"/>
        <v>5413862523.68</v>
      </c>
      <c r="E48" s="290">
        <f t="shared" si="24"/>
        <v>5549209086.771999</v>
      </c>
      <c r="F48" s="290">
        <f aca="true" t="shared" si="25" ref="F48:L48">+F49+F59</f>
        <v>5695864579.739099</v>
      </c>
      <c r="G48" s="290">
        <f t="shared" si="25"/>
        <v>5838261194.232576</v>
      </c>
      <c r="H48" s="290">
        <f t="shared" si="25"/>
        <v>5984217724.08839</v>
      </c>
      <c r="I48" s="290">
        <f t="shared" si="25"/>
        <v>6133823167.1905985</v>
      </c>
      <c r="J48" s="290">
        <f t="shared" si="25"/>
        <v>6287168746.370363</v>
      </c>
      <c r="K48" s="290">
        <f t="shared" si="25"/>
        <v>6444347965.02962</v>
      </c>
      <c r="L48" s="290">
        <f t="shared" si="25"/>
        <v>6605456664.155361</v>
      </c>
    </row>
    <row r="49" spans="1:12" s="28" customFormat="1" ht="12">
      <c r="A49" s="292" t="s">
        <v>35</v>
      </c>
      <c r="B49" s="293" t="s">
        <v>348</v>
      </c>
      <c r="C49" s="290">
        <f>+C50+C53+C57</f>
        <v>942886042</v>
      </c>
      <c r="D49" s="290">
        <f t="shared" si="4"/>
        <v>980601483.6800001</v>
      </c>
      <c r="E49" s="290">
        <f t="shared" si="24"/>
        <v>1005116520.772</v>
      </c>
      <c r="F49" s="290">
        <f aca="true" t="shared" si="26" ref="F49:F58">+E49*1.025</f>
        <v>1030244433.7912998</v>
      </c>
      <c r="G49" s="290">
        <f aca="true" t="shared" si="27" ref="G49:G58">+F49*1.025</f>
        <v>1056000544.6360822</v>
      </c>
      <c r="H49" s="290">
        <f aca="true" t="shared" si="28" ref="H49:H58">+G49*1.025</f>
        <v>1082400558.2519841</v>
      </c>
      <c r="I49" s="290">
        <f aca="true" t="shared" si="29" ref="I49:I58">+H49*1.025</f>
        <v>1109460572.2082837</v>
      </c>
      <c r="J49" s="290">
        <f aca="true" t="shared" si="30" ref="J49:J58">+I49*1.025</f>
        <v>1137197086.5134907</v>
      </c>
      <c r="K49" s="290">
        <f aca="true" t="shared" si="31" ref="K49:K58">+J49*1.025</f>
        <v>1165627013.676328</v>
      </c>
      <c r="L49" s="290">
        <f aca="true" t="shared" si="32" ref="L49:L58">+K49*1.025</f>
        <v>1194767689.018236</v>
      </c>
    </row>
    <row r="50" spans="1:12" s="28" customFormat="1" ht="12">
      <c r="A50" s="292" t="s">
        <v>36</v>
      </c>
      <c r="B50" s="293" t="s">
        <v>349</v>
      </c>
      <c r="C50" s="290">
        <f>+C51+C52</f>
        <v>921284042</v>
      </c>
      <c r="D50" s="290">
        <f t="shared" si="4"/>
        <v>958135403.6800001</v>
      </c>
      <c r="E50" s="290">
        <f t="shared" si="24"/>
        <v>982088788.772</v>
      </c>
      <c r="F50" s="290">
        <f t="shared" si="26"/>
        <v>1006641008.4912999</v>
      </c>
      <c r="G50" s="290">
        <f t="shared" si="27"/>
        <v>1031807033.7035823</v>
      </c>
      <c r="H50" s="290">
        <f t="shared" si="28"/>
        <v>1057602209.5461718</v>
      </c>
      <c r="I50" s="290">
        <f t="shared" si="29"/>
        <v>1084042264.784826</v>
      </c>
      <c r="J50" s="290">
        <f t="shared" si="30"/>
        <v>1111143321.4044466</v>
      </c>
      <c r="K50" s="290">
        <f t="shared" si="31"/>
        <v>1138921904.4395576</v>
      </c>
      <c r="L50" s="290">
        <f t="shared" si="32"/>
        <v>1167394952.0505464</v>
      </c>
    </row>
    <row r="51" spans="1:12" s="28" customFormat="1" ht="36">
      <c r="A51" s="292" t="s">
        <v>37</v>
      </c>
      <c r="B51" s="293" t="s">
        <v>350</v>
      </c>
      <c r="C51" s="290">
        <v>851284042</v>
      </c>
      <c r="D51" s="290">
        <f t="shared" si="4"/>
        <v>885335403.6800001</v>
      </c>
      <c r="E51" s="290">
        <f t="shared" si="24"/>
        <v>907468788.772</v>
      </c>
      <c r="F51" s="290">
        <f t="shared" si="26"/>
        <v>930155508.4912999</v>
      </c>
      <c r="G51" s="290">
        <f t="shared" si="27"/>
        <v>953409396.2035823</v>
      </c>
      <c r="H51" s="290">
        <f t="shared" si="28"/>
        <v>977244631.1086718</v>
      </c>
      <c r="I51" s="290">
        <f t="shared" si="29"/>
        <v>1001675746.8863885</v>
      </c>
      <c r="J51" s="290">
        <f t="shared" si="30"/>
        <v>1026717640.5585482</v>
      </c>
      <c r="K51" s="290">
        <f t="shared" si="31"/>
        <v>1052385581.5725118</v>
      </c>
      <c r="L51" s="290">
        <f t="shared" si="32"/>
        <v>1078695221.1118245</v>
      </c>
    </row>
    <row r="52" spans="1:12" s="28" customFormat="1" ht="36">
      <c r="A52" s="292" t="s">
        <v>38</v>
      </c>
      <c r="B52" s="293" t="s">
        <v>351</v>
      </c>
      <c r="C52" s="290">
        <v>70000000</v>
      </c>
      <c r="D52" s="290">
        <f t="shared" si="4"/>
        <v>72800000</v>
      </c>
      <c r="E52" s="290">
        <f t="shared" si="24"/>
        <v>74620000</v>
      </c>
      <c r="F52" s="290">
        <f t="shared" si="26"/>
        <v>76485500</v>
      </c>
      <c r="G52" s="290">
        <f t="shared" si="27"/>
        <v>78397637.5</v>
      </c>
      <c r="H52" s="290">
        <f t="shared" si="28"/>
        <v>80357578.4375</v>
      </c>
      <c r="I52" s="290">
        <f t="shared" si="29"/>
        <v>82366517.8984375</v>
      </c>
      <c r="J52" s="290">
        <f t="shared" si="30"/>
        <v>84425680.84589843</v>
      </c>
      <c r="K52" s="290">
        <f t="shared" si="31"/>
        <v>86536322.8670459</v>
      </c>
      <c r="L52" s="290">
        <f t="shared" si="32"/>
        <v>88699730.93872203</v>
      </c>
    </row>
    <row r="53" spans="1:12" s="28" customFormat="1" ht="12">
      <c r="A53" s="292" t="s">
        <v>39</v>
      </c>
      <c r="B53" s="293" t="s">
        <v>352</v>
      </c>
      <c r="C53" s="290">
        <f>SUM(C54:C56)</f>
        <v>1602000</v>
      </c>
      <c r="D53" s="290">
        <f t="shared" si="4"/>
        <v>1666080</v>
      </c>
      <c r="E53" s="290">
        <f t="shared" si="24"/>
        <v>1707731.9999999998</v>
      </c>
      <c r="F53" s="290">
        <f t="shared" si="26"/>
        <v>1750425.2999999996</v>
      </c>
      <c r="G53" s="290">
        <f t="shared" si="27"/>
        <v>1794185.9324999994</v>
      </c>
      <c r="H53" s="290">
        <f t="shared" si="28"/>
        <v>1839040.5808124992</v>
      </c>
      <c r="I53" s="290">
        <f t="shared" si="29"/>
        <v>1885016.5953328116</v>
      </c>
      <c r="J53" s="290">
        <f t="shared" si="30"/>
        <v>1932142.0102161318</v>
      </c>
      <c r="K53" s="290">
        <f t="shared" si="31"/>
        <v>1980445.560471535</v>
      </c>
      <c r="L53" s="290">
        <f t="shared" si="32"/>
        <v>2029956.6994833231</v>
      </c>
    </row>
    <row r="54" spans="1:12" s="28" customFormat="1" ht="12">
      <c r="A54" s="292" t="s">
        <v>40</v>
      </c>
      <c r="B54" s="293" t="s">
        <v>353</v>
      </c>
      <c r="C54" s="290">
        <v>1600000</v>
      </c>
      <c r="D54" s="290">
        <f t="shared" si="4"/>
        <v>1664000</v>
      </c>
      <c r="E54" s="290">
        <f t="shared" si="24"/>
        <v>1705599.9999999998</v>
      </c>
      <c r="F54" s="290">
        <f t="shared" si="26"/>
        <v>1748239.9999999995</v>
      </c>
      <c r="G54" s="290">
        <f t="shared" si="27"/>
        <v>1791945.9999999993</v>
      </c>
      <c r="H54" s="290">
        <f t="shared" si="28"/>
        <v>1836744.6499999992</v>
      </c>
      <c r="I54" s="290">
        <f t="shared" si="29"/>
        <v>1882663.266249999</v>
      </c>
      <c r="J54" s="290">
        <f t="shared" si="30"/>
        <v>1929729.8479062486</v>
      </c>
      <c r="K54" s="290">
        <f t="shared" si="31"/>
        <v>1977973.0941039047</v>
      </c>
      <c r="L54" s="290">
        <f t="shared" si="32"/>
        <v>2027422.421456502</v>
      </c>
    </row>
    <row r="55" spans="1:12" s="28" customFormat="1" ht="24">
      <c r="A55" s="292" t="s">
        <v>41</v>
      </c>
      <c r="B55" s="293" t="s">
        <v>354</v>
      </c>
      <c r="C55" s="290">
        <v>1000</v>
      </c>
      <c r="D55" s="290">
        <f t="shared" si="4"/>
        <v>1040</v>
      </c>
      <c r="E55" s="290">
        <f t="shared" si="24"/>
        <v>1066</v>
      </c>
      <c r="F55" s="290">
        <f t="shared" si="26"/>
        <v>1092.6499999999999</v>
      </c>
      <c r="G55" s="290">
        <f t="shared" si="27"/>
        <v>1119.9662499999997</v>
      </c>
      <c r="H55" s="290">
        <f t="shared" si="28"/>
        <v>1147.9654062499997</v>
      </c>
      <c r="I55" s="290">
        <f t="shared" si="29"/>
        <v>1176.6645414062496</v>
      </c>
      <c r="J55" s="290">
        <f t="shared" si="30"/>
        <v>1206.0811549414057</v>
      </c>
      <c r="K55" s="290">
        <f t="shared" si="31"/>
        <v>1236.2331838149407</v>
      </c>
      <c r="L55" s="290">
        <f t="shared" si="32"/>
        <v>1267.1390134103142</v>
      </c>
    </row>
    <row r="56" spans="1:12" s="28" customFormat="1" ht="24">
      <c r="A56" s="292" t="s">
        <v>42</v>
      </c>
      <c r="B56" s="293" t="s">
        <v>355</v>
      </c>
      <c r="C56" s="290">
        <v>1000</v>
      </c>
      <c r="D56" s="290">
        <f t="shared" si="4"/>
        <v>1040</v>
      </c>
      <c r="E56" s="290">
        <f t="shared" si="24"/>
        <v>1066</v>
      </c>
      <c r="F56" s="290">
        <f t="shared" si="26"/>
        <v>1092.6499999999999</v>
      </c>
      <c r="G56" s="290">
        <f t="shared" si="27"/>
        <v>1119.9662499999997</v>
      </c>
      <c r="H56" s="290">
        <f t="shared" si="28"/>
        <v>1147.9654062499997</v>
      </c>
      <c r="I56" s="290">
        <f t="shared" si="29"/>
        <v>1176.6645414062496</v>
      </c>
      <c r="J56" s="290">
        <f t="shared" si="30"/>
        <v>1206.0811549414057</v>
      </c>
      <c r="K56" s="290">
        <f t="shared" si="31"/>
        <v>1236.2331838149407</v>
      </c>
      <c r="L56" s="290">
        <f t="shared" si="32"/>
        <v>1267.1390134103142</v>
      </c>
    </row>
    <row r="57" spans="1:12" s="28" customFormat="1" ht="36">
      <c r="A57" s="292" t="s">
        <v>254</v>
      </c>
      <c r="B57" s="293" t="s">
        <v>356</v>
      </c>
      <c r="C57" s="290">
        <v>20000000</v>
      </c>
      <c r="D57" s="290">
        <f t="shared" si="4"/>
        <v>20800000</v>
      </c>
      <c r="E57" s="290">
        <f t="shared" si="24"/>
        <v>21320000</v>
      </c>
      <c r="F57" s="290">
        <f t="shared" si="26"/>
        <v>21852999.999999996</v>
      </c>
      <c r="G57" s="290">
        <f t="shared" si="27"/>
        <v>22399324.999999993</v>
      </c>
      <c r="H57" s="290">
        <f t="shared" si="28"/>
        <v>22959308.12499999</v>
      </c>
      <c r="I57" s="290">
        <f t="shared" si="29"/>
        <v>23533290.828124985</v>
      </c>
      <c r="J57" s="290">
        <f t="shared" si="30"/>
        <v>24121623.098828107</v>
      </c>
      <c r="K57" s="290">
        <f t="shared" si="31"/>
        <v>24724663.67629881</v>
      </c>
      <c r="L57" s="290">
        <f t="shared" si="32"/>
        <v>25342780.268206276</v>
      </c>
    </row>
    <row r="58" spans="1:12" s="28" customFormat="1" ht="12">
      <c r="A58" s="292" t="s">
        <v>255</v>
      </c>
      <c r="B58" s="293" t="s">
        <v>357</v>
      </c>
      <c r="C58" s="290">
        <v>1000</v>
      </c>
      <c r="D58" s="290">
        <f t="shared" si="4"/>
        <v>1040</v>
      </c>
      <c r="E58" s="290">
        <f t="shared" si="24"/>
        <v>1066</v>
      </c>
      <c r="F58" s="290">
        <f t="shared" si="26"/>
        <v>1092.6499999999999</v>
      </c>
      <c r="G58" s="290">
        <f t="shared" si="27"/>
        <v>1119.9662499999997</v>
      </c>
      <c r="H58" s="290">
        <f t="shared" si="28"/>
        <v>1147.9654062499997</v>
      </c>
      <c r="I58" s="290">
        <f t="shared" si="29"/>
        <v>1176.6645414062496</v>
      </c>
      <c r="J58" s="290">
        <f t="shared" si="30"/>
        <v>1206.0811549414057</v>
      </c>
      <c r="K58" s="290">
        <f t="shared" si="31"/>
        <v>1236.2331838149407</v>
      </c>
      <c r="L58" s="290">
        <f t="shared" si="32"/>
        <v>1267.1390134103142</v>
      </c>
    </row>
    <row r="59" spans="1:12" s="28" customFormat="1" ht="12">
      <c r="A59" s="292" t="s">
        <v>256</v>
      </c>
      <c r="B59" s="293" t="s">
        <v>359</v>
      </c>
      <c r="C59" s="290">
        <f>+C60+C73+C74</f>
        <v>4262751000</v>
      </c>
      <c r="D59" s="290">
        <f t="shared" si="4"/>
        <v>4433261040</v>
      </c>
      <c r="E59" s="290">
        <f t="shared" si="24"/>
        <v>4544092566</v>
      </c>
      <c r="F59" s="290">
        <f aca="true" t="shared" si="33" ref="F59:L59">+F60+F73+F74</f>
        <v>4665620145.947799</v>
      </c>
      <c r="G59" s="290">
        <f t="shared" si="33"/>
        <v>4782260649.596494</v>
      </c>
      <c r="H59" s="290">
        <f t="shared" si="33"/>
        <v>4901817165.836406</v>
      </c>
      <c r="I59" s="290">
        <f t="shared" si="33"/>
        <v>5024362594.982315</v>
      </c>
      <c r="J59" s="290">
        <f t="shared" si="33"/>
        <v>5149971659.856873</v>
      </c>
      <c r="K59" s="290">
        <f t="shared" si="33"/>
        <v>5278720951.353292</v>
      </c>
      <c r="L59" s="290">
        <f t="shared" si="33"/>
        <v>5410688975.137125</v>
      </c>
    </row>
    <row r="60" spans="1:12" s="28" customFormat="1" ht="12">
      <c r="A60" s="292" t="s">
        <v>257</v>
      </c>
      <c r="B60" s="293" t="s">
        <v>349</v>
      </c>
      <c r="C60" s="290">
        <f>+C61+C64+C65+C70</f>
        <v>4111750000</v>
      </c>
      <c r="D60" s="290">
        <f t="shared" si="4"/>
        <v>4276220000</v>
      </c>
      <c r="E60" s="290">
        <f t="shared" si="24"/>
        <v>4383125500</v>
      </c>
      <c r="F60" s="290">
        <f aca="true" t="shared" si="34" ref="F60:L60">+F61+F64+F65+F70</f>
        <v>4500628903.297799</v>
      </c>
      <c r="G60" s="290">
        <f t="shared" si="34"/>
        <v>4613144625.880243</v>
      </c>
      <c r="H60" s="290">
        <f t="shared" si="34"/>
        <v>4728473241.527249</v>
      </c>
      <c r="I60" s="290">
        <f t="shared" si="34"/>
        <v>4846685072.56543</v>
      </c>
      <c r="J60" s="290">
        <f t="shared" si="34"/>
        <v>4967852199.379565</v>
      </c>
      <c r="K60" s="290">
        <f t="shared" si="34"/>
        <v>5092048504.364053</v>
      </c>
      <c r="L60" s="290">
        <f t="shared" si="34"/>
        <v>5219349716.973154</v>
      </c>
    </row>
    <row r="61" spans="1:12" s="28" customFormat="1" ht="24">
      <c r="A61" s="292" t="s">
        <v>258</v>
      </c>
      <c r="B61" s="293" t="s">
        <v>360</v>
      </c>
      <c r="C61" s="290">
        <v>1163000000</v>
      </c>
      <c r="D61" s="290">
        <f t="shared" si="4"/>
        <v>1209520000</v>
      </c>
      <c r="E61" s="290">
        <f t="shared" si="24"/>
        <v>1239758000</v>
      </c>
      <c r="F61" s="290">
        <f aca="true" t="shared" si="35" ref="F61:L61">SUM(F62:F63)</f>
        <v>1278677215.7977998</v>
      </c>
      <c r="G61" s="290">
        <f t="shared" si="35"/>
        <v>1310644146.1927447</v>
      </c>
      <c r="H61" s="290">
        <f t="shared" si="35"/>
        <v>1343410249.8475633</v>
      </c>
      <c r="I61" s="290">
        <f t="shared" si="35"/>
        <v>1376995506.0937521</v>
      </c>
      <c r="J61" s="290">
        <f t="shared" si="35"/>
        <v>1411420393.746096</v>
      </c>
      <c r="K61" s="290">
        <f t="shared" si="35"/>
        <v>1446705903.589748</v>
      </c>
      <c r="L61" s="290">
        <f t="shared" si="35"/>
        <v>1482873551.1794915</v>
      </c>
    </row>
    <row r="62" spans="1:12" s="28" customFormat="1" ht="24">
      <c r="A62" s="292" t="s">
        <v>259</v>
      </c>
      <c r="B62" s="293" t="s">
        <v>361</v>
      </c>
      <c r="C62" s="294">
        <v>957823252</v>
      </c>
      <c r="D62" s="290">
        <f t="shared" si="4"/>
        <v>996136182.08</v>
      </c>
      <c r="E62" s="290">
        <f t="shared" si="24"/>
        <v>1021039586.632</v>
      </c>
      <c r="F62" s="290">
        <f aca="true" t="shared" si="36" ref="F62:F79">+E62*1.025</f>
        <v>1046565576.2977998</v>
      </c>
      <c r="G62" s="290">
        <f aca="true" t="shared" si="37" ref="G62:G79">+F62*1.025</f>
        <v>1072729715.7052448</v>
      </c>
      <c r="H62" s="290">
        <f aca="true" t="shared" si="38" ref="H62:H79">+G62*1.025</f>
        <v>1099547958.5978758</v>
      </c>
      <c r="I62" s="290">
        <f aca="true" t="shared" si="39" ref="I62:I79">+H62*1.025</f>
        <v>1127036657.5628226</v>
      </c>
      <c r="J62" s="290">
        <f aca="true" t="shared" si="40" ref="J62:J79">+I62*1.025</f>
        <v>1155212574.001893</v>
      </c>
      <c r="K62" s="290">
        <f aca="true" t="shared" si="41" ref="K62:K79">+J62*1.025</f>
        <v>1184092888.3519402</v>
      </c>
      <c r="L62" s="290">
        <f aca="true" t="shared" si="42" ref="L62:L79">+K62*1.025</f>
        <v>1213695210.5607386</v>
      </c>
    </row>
    <row r="63" spans="1:12" s="28" customFormat="1" ht="24">
      <c r="A63" s="292" t="s">
        <v>292</v>
      </c>
      <c r="B63" s="293" t="s">
        <v>293</v>
      </c>
      <c r="C63" s="294">
        <v>212430000</v>
      </c>
      <c r="D63" s="290">
        <f t="shared" si="4"/>
        <v>220927200</v>
      </c>
      <c r="E63" s="290">
        <f t="shared" si="24"/>
        <v>226450379.99999997</v>
      </c>
      <c r="F63" s="290">
        <f t="shared" si="36"/>
        <v>232111639.49999994</v>
      </c>
      <c r="G63" s="290">
        <f t="shared" si="37"/>
        <v>237914430.48749992</v>
      </c>
      <c r="H63" s="290">
        <f t="shared" si="38"/>
        <v>243862291.2496874</v>
      </c>
      <c r="I63" s="290">
        <f t="shared" si="39"/>
        <v>249958848.53092957</v>
      </c>
      <c r="J63" s="290">
        <f t="shared" si="40"/>
        <v>256207819.7442028</v>
      </c>
      <c r="K63" s="290">
        <f t="shared" si="41"/>
        <v>262613015.23780784</v>
      </c>
      <c r="L63" s="290">
        <f t="shared" si="42"/>
        <v>269178340.618753</v>
      </c>
    </row>
    <row r="64" spans="1:12" s="28" customFormat="1" ht="24">
      <c r="A64" s="292" t="s">
        <v>260</v>
      </c>
      <c r="B64" s="293" t="s">
        <v>363</v>
      </c>
      <c r="C64" s="290">
        <v>240250000</v>
      </c>
      <c r="D64" s="290">
        <f t="shared" si="4"/>
        <v>249860000</v>
      </c>
      <c r="E64" s="290">
        <f t="shared" si="24"/>
        <v>256106499.99999997</v>
      </c>
      <c r="F64" s="290">
        <f t="shared" si="36"/>
        <v>262509162.49999994</v>
      </c>
      <c r="G64" s="290">
        <f t="shared" si="37"/>
        <v>269071891.56249994</v>
      </c>
      <c r="H64" s="290">
        <f t="shared" si="38"/>
        <v>275798688.85156244</v>
      </c>
      <c r="I64" s="290">
        <f t="shared" si="39"/>
        <v>282693656.0728515</v>
      </c>
      <c r="J64" s="290">
        <f t="shared" si="40"/>
        <v>289760997.47467273</v>
      </c>
      <c r="K64" s="290">
        <f t="shared" si="41"/>
        <v>297005022.41153955</v>
      </c>
      <c r="L64" s="290">
        <f t="shared" si="42"/>
        <v>304430147.97182804</v>
      </c>
    </row>
    <row r="65" spans="1:12" s="28" customFormat="1" ht="24">
      <c r="A65" s="292" t="s">
        <v>261</v>
      </c>
      <c r="B65" s="293" t="s">
        <v>364</v>
      </c>
      <c r="C65" s="290">
        <v>1288500000</v>
      </c>
      <c r="D65" s="290">
        <f t="shared" si="4"/>
        <v>1340040000</v>
      </c>
      <c r="E65" s="290">
        <f t="shared" si="24"/>
        <v>1373541000</v>
      </c>
      <c r="F65" s="290">
        <f t="shared" si="36"/>
        <v>1407879524.9999998</v>
      </c>
      <c r="G65" s="290">
        <f t="shared" si="37"/>
        <v>1443076513.1249995</v>
      </c>
      <c r="H65" s="290">
        <f t="shared" si="38"/>
        <v>1479153425.9531243</v>
      </c>
      <c r="I65" s="290">
        <f t="shared" si="39"/>
        <v>1516132261.6019523</v>
      </c>
      <c r="J65" s="290">
        <f t="shared" si="40"/>
        <v>1554035568.142001</v>
      </c>
      <c r="K65" s="290">
        <f t="shared" si="41"/>
        <v>1592886457.3455508</v>
      </c>
      <c r="L65" s="290">
        <f t="shared" si="42"/>
        <v>1632708618.7791893</v>
      </c>
    </row>
    <row r="66" spans="1:12" s="28" customFormat="1" ht="12">
      <c r="A66" s="292" t="s">
        <v>294</v>
      </c>
      <c r="B66" s="295" t="s">
        <v>298</v>
      </c>
      <c r="C66" s="294">
        <v>99500000</v>
      </c>
      <c r="D66" s="290">
        <f t="shared" si="4"/>
        <v>103480000</v>
      </c>
      <c r="E66" s="290">
        <f t="shared" si="24"/>
        <v>106066999.99999999</v>
      </c>
      <c r="F66" s="290">
        <f t="shared" si="36"/>
        <v>108718674.99999997</v>
      </c>
      <c r="G66" s="290">
        <f t="shared" si="37"/>
        <v>111436641.87499996</v>
      </c>
      <c r="H66" s="290">
        <f t="shared" si="38"/>
        <v>114222557.92187494</v>
      </c>
      <c r="I66" s="290">
        <f t="shared" si="39"/>
        <v>117078121.8699218</v>
      </c>
      <c r="J66" s="290">
        <f t="shared" si="40"/>
        <v>120005074.91666985</v>
      </c>
      <c r="K66" s="290">
        <f t="shared" si="41"/>
        <v>123005201.78958657</v>
      </c>
      <c r="L66" s="290">
        <f t="shared" si="42"/>
        <v>126080331.83432622</v>
      </c>
    </row>
    <row r="67" spans="1:12" s="28" customFormat="1" ht="12">
      <c r="A67" s="292" t="s">
        <v>295</v>
      </c>
      <c r="B67" s="295" t="s">
        <v>299</v>
      </c>
      <c r="C67" s="294">
        <v>75000000</v>
      </c>
      <c r="D67" s="290">
        <f t="shared" si="4"/>
        <v>78000000</v>
      </c>
      <c r="E67" s="290">
        <f t="shared" si="24"/>
        <v>79950000</v>
      </c>
      <c r="F67" s="290">
        <f t="shared" si="36"/>
        <v>81948750</v>
      </c>
      <c r="G67" s="290">
        <f t="shared" si="37"/>
        <v>83997468.75</v>
      </c>
      <c r="H67" s="290">
        <f t="shared" si="38"/>
        <v>86097405.46874999</v>
      </c>
      <c r="I67" s="290">
        <f t="shared" si="39"/>
        <v>88249840.60546872</v>
      </c>
      <c r="J67" s="290">
        <f t="shared" si="40"/>
        <v>90456086.62060542</v>
      </c>
      <c r="K67" s="290">
        <f t="shared" si="41"/>
        <v>92717488.78612055</v>
      </c>
      <c r="L67" s="290">
        <f t="shared" si="42"/>
        <v>95035426.00577356</v>
      </c>
    </row>
    <row r="68" spans="1:12" s="28" customFormat="1" ht="12">
      <c r="A68" s="292" t="s">
        <v>296</v>
      </c>
      <c r="B68" s="295" t="s">
        <v>300</v>
      </c>
      <c r="C68" s="294">
        <v>822500958</v>
      </c>
      <c r="D68" s="290">
        <f t="shared" si="4"/>
        <v>855400996.32</v>
      </c>
      <c r="E68" s="290">
        <f t="shared" si="24"/>
        <v>876786021.2279999</v>
      </c>
      <c r="F68" s="290">
        <f t="shared" si="36"/>
        <v>898705671.7586999</v>
      </c>
      <c r="G68" s="290">
        <f t="shared" si="37"/>
        <v>921173313.5526673</v>
      </c>
      <c r="H68" s="290">
        <f t="shared" si="38"/>
        <v>944202646.3914839</v>
      </c>
      <c r="I68" s="290">
        <f t="shared" si="39"/>
        <v>967807712.551271</v>
      </c>
      <c r="J68" s="290">
        <f t="shared" si="40"/>
        <v>992002905.3650527</v>
      </c>
      <c r="K68" s="290">
        <f t="shared" si="41"/>
        <v>1016802977.9991789</v>
      </c>
      <c r="L68" s="290">
        <f t="shared" si="42"/>
        <v>1042223052.4491583</v>
      </c>
    </row>
    <row r="69" spans="1:12" s="28" customFormat="1" ht="12">
      <c r="A69" s="292" t="s">
        <v>297</v>
      </c>
      <c r="B69" s="295" t="s">
        <v>301</v>
      </c>
      <c r="C69" s="294">
        <v>129000000</v>
      </c>
      <c r="D69" s="290">
        <f t="shared" si="4"/>
        <v>134160000</v>
      </c>
      <c r="E69" s="290">
        <f t="shared" si="24"/>
        <v>137514000</v>
      </c>
      <c r="F69" s="290">
        <f t="shared" si="36"/>
        <v>140951850</v>
      </c>
      <c r="G69" s="290">
        <f t="shared" si="37"/>
        <v>144475646.25</v>
      </c>
      <c r="H69" s="290">
        <f t="shared" si="38"/>
        <v>148087537.40625</v>
      </c>
      <c r="I69" s="290">
        <f t="shared" si="39"/>
        <v>151789725.84140623</v>
      </c>
      <c r="J69" s="290">
        <f t="shared" si="40"/>
        <v>155584468.98744136</v>
      </c>
      <c r="K69" s="290">
        <f t="shared" si="41"/>
        <v>159474080.7121274</v>
      </c>
      <c r="L69" s="290">
        <f t="shared" si="42"/>
        <v>163460932.72993055</v>
      </c>
    </row>
    <row r="70" spans="1:12" s="28" customFormat="1" ht="24">
      <c r="A70" s="292" t="s">
        <v>262</v>
      </c>
      <c r="B70" s="293" t="s">
        <v>813</v>
      </c>
      <c r="C70" s="294">
        <v>1420000000</v>
      </c>
      <c r="D70" s="290">
        <f t="shared" si="4"/>
        <v>1476800000</v>
      </c>
      <c r="E70" s="290">
        <f t="shared" si="24"/>
        <v>1513719999.9999998</v>
      </c>
      <c r="F70" s="290">
        <f t="shared" si="36"/>
        <v>1551562999.9999995</v>
      </c>
      <c r="G70" s="290">
        <f t="shared" si="37"/>
        <v>1590352074.9999993</v>
      </c>
      <c r="H70" s="290">
        <f t="shared" si="38"/>
        <v>1630110876.874999</v>
      </c>
      <c r="I70" s="290">
        <f t="shared" si="39"/>
        <v>1670863648.7968738</v>
      </c>
      <c r="J70" s="290">
        <f t="shared" si="40"/>
        <v>1712635240.0167954</v>
      </c>
      <c r="K70" s="290">
        <f t="shared" si="41"/>
        <v>1755451121.017215</v>
      </c>
      <c r="L70" s="290">
        <f t="shared" si="42"/>
        <v>1799337399.0426452</v>
      </c>
    </row>
    <row r="71" spans="1:12" s="28" customFormat="1" ht="24" customHeight="1" hidden="1">
      <c r="A71" s="292" t="s">
        <v>629</v>
      </c>
      <c r="B71" s="293" t="s">
        <v>630</v>
      </c>
      <c r="C71" s="294">
        <v>866055496</v>
      </c>
      <c r="D71" s="290">
        <f t="shared" si="4"/>
        <v>900697715.84</v>
      </c>
      <c r="E71" s="290">
        <f t="shared" si="24"/>
        <v>923215158.736</v>
      </c>
      <c r="F71" s="290">
        <f t="shared" si="36"/>
        <v>946295537.7043998</v>
      </c>
      <c r="G71" s="290">
        <f t="shared" si="37"/>
        <v>969952926.1470097</v>
      </c>
      <c r="H71" s="290">
        <f t="shared" si="38"/>
        <v>994201749.3006849</v>
      </c>
      <c r="I71" s="290">
        <f t="shared" si="39"/>
        <v>1019056793.0332019</v>
      </c>
      <c r="J71" s="290">
        <f t="shared" si="40"/>
        <v>1044533212.8590319</v>
      </c>
      <c r="K71" s="290">
        <f t="shared" si="41"/>
        <v>1070646543.1805077</v>
      </c>
      <c r="L71" s="290">
        <f t="shared" si="42"/>
        <v>1097412706.7600203</v>
      </c>
    </row>
    <row r="72" spans="1:12" s="28" customFormat="1" ht="24" customHeight="1" hidden="1">
      <c r="A72" s="292" t="s">
        <v>631</v>
      </c>
      <c r="B72" s="293" t="s">
        <v>632</v>
      </c>
      <c r="C72" s="294">
        <v>466337575</v>
      </c>
      <c r="D72" s="290">
        <f t="shared" si="4"/>
        <v>484991078</v>
      </c>
      <c r="E72" s="290">
        <f t="shared" si="24"/>
        <v>497115854.9499999</v>
      </c>
      <c r="F72" s="290">
        <f t="shared" si="36"/>
        <v>509543751.3237499</v>
      </c>
      <c r="G72" s="290">
        <f t="shared" si="37"/>
        <v>522282345.1068436</v>
      </c>
      <c r="H72" s="290">
        <f t="shared" si="38"/>
        <v>535339403.73451465</v>
      </c>
      <c r="I72" s="290">
        <f t="shared" si="39"/>
        <v>548722888.8278775</v>
      </c>
      <c r="J72" s="290">
        <f t="shared" si="40"/>
        <v>562440961.0485744</v>
      </c>
      <c r="K72" s="290">
        <f t="shared" si="41"/>
        <v>576501985.0747888</v>
      </c>
      <c r="L72" s="290">
        <f t="shared" si="42"/>
        <v>590914534.7016585</v>
      </c>
    </row>
    <row r="73" spans="1:12" s="28" customFormat="1" ht="12">
      <c r="A73" s="292" t="s">
        <v>263</v>
      </c>
      <c r="B73" s="293" t="s">
        <v>352</v>
      </c>
      <c r="C73" s="290">
        <v>1000</v>
      </c>
      <c r="D73" s="290">
        <f aca="true" t="shared" si="43" ref="D73:D87">+C73*1.04</f>
        <v>1040</v>
      </c>
      <c r="E73" s="290">
        <f t="shared" si="24"/>
        <v>1066</v>
      </c>
      <c r="F73" s="290">
        <f t="shared" si="36"/>
        <v>1092.6499999999999</v>
      </c>
      <c r="G73" s="290">
        <f t="shared" si="37"/>
        <v>1119.9662499999997</v>
      </c>
      <c r="H73" s="290">
        <f t="shared" si="38"/>
        <v>1147.9654062499997</v>
      </c>
      <c r="I73" s="290">
        <f t="shared" si="39"/>
        <v>1176.6645414062496</v>
      </c>
      <c r="J73" s="290">
        <f t="shared" si="40"/>
        <v>1206.0811549414057</v>
      </c>
      <c r="K73" s="290">
        <f t="shared" si="41"/>
        <v>1236.2331838149407</v>
      </c>
      <c r="L73" s="290">
        <f t="shared" si="42"/>
        <v>1267.1390134103142</v>
      </c>
    </row>
    <row r="74" spans="1:12" s="28" customFormat="1" ht="24">
      <c r="A74" s="292" t="s">
        <v>264</v>
      </c>
      <c r="B74" s="293" t="s">
        <v>367</v>
      </c>
      <c r="C74" s="290">
        <f>+C75</f>
        <v>151000000</v>
      </c>
      <c r="D74" s="290">
        <f t="shared" si="43"/>
        <v>157040000</v>
      </c>
      <c r="E74" s="290">
        <f t="shared" si="24"/>
        <v>160966000</v>
      </c>
      <c r="F74" s="290">
        <f t="shared" si="36"/>
        <v>164990150</v>
      </c>
      <c r="G74" s="290">
        <f t="shared" si="37"/>
        <v>169114903.75</v>
      </c>
      <c r="H74" s="290">
        <f t="shared" si="38"/>
        <v>173342776.34374997</v>
      </c>
      <c r="I74" s="290">
        <f t="shared" si="39"/>
        <v>177676345.7523437</v>
      </c>
      <c r="J74" s="290">
        <f t="shared" si="40"/>
        <v>182118254.3961523</v>
      </c>
      <c r="K74" s="290">
        <f t="shared" si="41"/>
        <v>186671210.75605607</v>
      </c>
      <c r="L74" s="290">
        <f t="shared" si="42"/>
        <v>191337991.02495745</v>
      </c>
    </row>
    <row r="75" spans="1:12" s="28" customFormat="1" ht="12" hidden="1">
      <c r="A75" s="292" t="s">
        <v>265</v>
      </c>
      <c r="B75" s="293" t="s">
        <v>357</v>
      </c>
      <c r="C75" s="290">
        <f>171000000-20000000</f>
        <v>151000000</v>
      </c>
      <c r="D75" s="290">
        <f t="shared" si="43"/>
        <v>157040000</v>
      </c>
      <c r="E75" s="290">
        <f t="shared" si="24"/>
        <v>160966000</v>
      </c>
      <c r="F75" s="290">
        <f t="shared" si="36"/>
        <v>164990150</v>
      </c>
      <c r="G75" s="290">
        <f t="shared" si="37"/>
        <v>169114903.75</v>
      </c>
      <c r="H75" s="290">
        <f t="shared" si="38"/>
        <v>173342776.34374997</v>
      </c>
      <c r="I75" s="290">
        <f t="shared" si="39"/>
        <v>177676345.7523437</v>
      </c>
      <c r="J75" s="290">
        <f t="shared" si="40"/>
        <v>182118254.3961523</v>
      </c>
      <c r="K75" s="290">
        <f t="shared" si="41"/>
        <v>186671210.75605607</v>
      </c>
      <c r="L75" s="290">
        <f t="shared" si="42"/>
        <v>191337991.02495745</v>
      </c>
    </row>
    <row r="76" spans="1:12" s="28" customFormat="1" ht="12">
      <c r="A76" s="292" t="s">
        <v>266</v>
      </c>
      <c r="B76" s="293" t="s">
        <v>368</v>
      </c>
      <c r="C76" s="290">
        <f>+C77</f>
        <v>10755958</v>
      </c>
      <c r="D76" s="290">
        <f t="shared" si="43"/>
        <v>11186196.32</v>
      </c>
      <c r="E76" s="290">
        <f t="shared" si="24"/>
        <v>11465851.228</v>
      </c>
      <c r="F76" s="290">
        <f t="shared" si="36"/>
        <v>11752497.508699998</v>
      </c>
      <c r="G76" s="290">
        <f t="shared" si="37"/>
        <v>12046309.946417497</v>
      </c>
      <c r="H76" s="290">
        <f t="shared" si="38"/>
        <v>12347467.695077933</v>
      </c>
      <c r="I76" s="290">
        <f t="shared" si="39"/>
        <v>12656154.38745488</v>
      </c>
      <c r="J76" s="290">
        <f t="shared" si="40"/>
        <v>12972558.247141251</v>
      </c>
      <c r="K76" s="290">
        <f t="shared" si="41"/>
        <v>13296872.203319782</v>
      </c>
      <c r="L76" s="290">
        <f t="shared" si="42"/>
        <v>13629294.008402776</v>
      </c>
    </row>
    <row r="77" spans="1:12" s="28" customFormat="1" ht="12">
      <c r="A77" s="292" t="s">
        <v>464</v>
      </c>
      <c r="B77" s="293" t="s">
        <v>358</v>
      </c>
      <c r="C77" s="290">
        <f>+C78+C79</f>
        <v>10755958</v>
      </c>
      <c r="D77" s="290">
        <f t="shared" si="43"/>
        <v>11186196.32</v>
      </c>
      <c r="E77" s="290">
        <f aca="true" t="shared" si="44" ref="E77:E90">+D77*1.025</f>
        <v>11465851.228</v>
      </c>
      <c r="F77" s="290">
        <f t="shared" si="36"/>
        <v>11752497.508699998</v>
      </c>
      <c r="G77" s="290">
        <f t="shared" si="37"/>
        <v>12046309.946417497</v>
      </c>
      <c r="H77" s="290">
        <f t="shared" si="38"/>
        <v>12347467.695077933</v>
      </c>
      <c r="I77" s="290">
        <f t="shared" si="39"/>
        <v>12656154.38745488</v>
      </c>
      <c r="J77" s="290">
        <f t="shared" si="40"/>
        <v>12972558.247141251</v>
      </c>
      <c r="K77" s="290">
        <f t="shared" si="41"/>
        <v>13296872.203319782</v>
      </c>
      <c r="L77" s="290">
        <f t="shared" si="42"/>
        <v>13629294.008402776</v>
      </c>
    </row>
    <row r="78" spans="1:12" s="28" customFormat="1" ht="24" hidden="1">
      <c r="A78" s="292" t="s">
        <v>465</v>
      </c>
      <c r="B78" s="295" t="s">
        <v>466</v>
      </c>
      <c r="C78" s="290">
        <v>9209000</v>
      </c>
      <c r="D78" s="290">
        <f t="shared" si="43"/>
        <v>9577360</v>
      </c>
      <c r="E78" s="290">
        <f t="shared" si="44"/>
        <v>9816794</v>
      </c>
      <c r="F78" s="290">
        <f t="shared" si="36"/>
        <v>10062213.85</v>
      </c>
      <c r="G78" s="290">
        <f t="shared" si="37"/>
        <v>10313769.19625</v>
      </c>
      <c r="H78" s="290">
        <f t="shared" si="38"/>
        <v>10571613.426156249</v>
      </c>
      <c r="I78" s="290">
        <f t="shared" si="39"/>
        <v>10835903.761810154</v>
      </c>
      <c r="J78" s="290">
        <f t="shared" si="40"/>
        <v>11106801.355855407</v>
      </c>
      <c r="K78" s="290">
        <f t="shared" si="41"/>
        <v>11384471.389751792</v>
      </c>
      <c r="L78" s="290">
        <f t="shared" si="42"/>
        <v>11669083.174495585</v>
      </c>
    </row>
    <row r="79" spans="1:12" s="28" customFormat="1" ht="12" hidden="1">
      <c r="A79" s="292" t="s">
        <v>467</v>
      </c>
      <c r="B79" s="295" t="s">
        <v>468</v>
      </c>
      <c r="C79" s="290">
        <f>14261000-12714042</f>
        <v>1546958</v>
      </c>
      <c r="D79" s="290">
        <f t="shared" si="43"/>
        <v>1608836.32</v>
      </c>
      <c r="E79" s="290">
        <f t="shared" si="44"/>
        <v>1649057.228</v>
      </c>
      <c r="F79" s="290">
        <f t="shared" si="36"/>
        <v>1690283.6586999998</v>
      </c>
      <c r="G79" s="290">
        <f t="shared" si="37"/>
        <v>1732540.7501674995</v>
      </c>
      <c r="H79" s="290">
        <f t="shared" si="38"/>
        <v>1775854.2689216868</v>
      </c>
      <c r="I79" s="290">
        <f t="shared" si="39"/>
        <v>1820250.6256447288</v>
      </c>
      <c r="J79" s="290">
        <f t="shared" si="40"/>
        <v>1865756.891285847</v>
      </c>
      <c r="K79" s="290">
        <f t="shared" si="41"/>
        <v>1912400.813567993</v>
      </c>
      <c r="L79" s="290">
        <f t="shared" si="42"/>
        <v>1960210.8339071926</v>
      </c>
    </row>
    <row r="80" spans="1:12" s="291" customFormat="1" ht="12">
      <c r="A80" s="287" t="s">
        <v>267</v>
      </c>
      <c r="B80" s="288" t="s">
        <v>370</v>
      </c>
      <c r="C80" s="290">
        <f>+C81+C83+C88+C89</f>
        <v>47004000</v>
      </c>
      <c r="D80" s="290">
        <v>0</v>
      </c>
      <c r="E80" s="290">
        <f t="shared" si="44"/>
        <v>0</v>
      </c>
      <c r="F80" s="290">
        <f aca="true" t="shared" si="45" ref="F80:L90">+E80*1.025</f>
        <v>0</v>
      </c>
      <c r="G80" s="290">
        <f t="shared" si="45"/>
        <v>0</v>
      </c>
      <c r="H80" s="290">
        <f t="shared" si="45"/>
        <v>0</v>
      </c>
      <c r="I80" s="290">
        <f t="shared" si="45"/>
        <v>0</v>
      </c>
      <c r="J80" s="290">
        <f t="shared" si="45"/>
        <v>0</v>
      </c>
      <c r="K80" s="290">
        <f t="shared" si="45"/>
        <v>0</v>
      </c>
      <c r="L80" s="290">
        <f t="shared" si="45"/>
        <v>0</v>
      </c>
    </row>
    <row r="81" spans="1:12" s="291" customFormat="1" ht="12">
      <c r="A81" s="287" t="s">
        <v>271</v>
      </c>
      <c r="B81" s="288" t="s">
        <v>371</v>
      </c>
      <c r="C81" s="290">
        <f>+C82</f>
        <v>2000</v>
      </c>
      <c r="D81" s="290">
        <f t="shared" si="43"/>
        <v>2080</v>
      </c>
      <c r="E81" s="290">
        <f t="shared" si="44"/>
        <v>2132</v>
      </c>
      <c r="F81" s="290">
        <f t="shared" si="45"/>
        <v>2185.2999999999997</v>
      </c>
      <c r="G81" s="290">
        <f t="shared" si="45"/>
        <v>2239.9324999999994</v>
      </c>
      <c r="H81" s="290">
        <f t="shared" si="45"/>
        <v>2295.9308124999993</v>
      </c>
      <c r="I81" s="290">
        <f t="shared" si="45"/>
        <v>2353.329082812499</v>
      </c>
      <c r="J81" s="290">
        <f t="shared" si="45"/>
        <v>2412.1623098828113</v>
      </c>
      <c r="K81" s="290">
        <f t="shared" si="45"/>
        <v>2472.4663676298815</v>
      </c>
      <c r="L81" s="290">
        <f t="shared" si="45"/>
        <v>2534.2780268206284</v>
      </c>
    </row>
    <row r="82" spans="1:12" s="28" customFormat="1" ht="24">
      <c r="A82" s="292" t="s">
        <v>269</v>
      </c>
      <c r="B82" s="293" t="s">
        <v>372</v>
      </c>
      <c r="C82" s="290">
        <v>2000</v>
      </c>
      <c r="D82" s="290">
        <f t="shared" si="43"/>
        <v>2080</v>
      </c>
      <c r="E82" s="290">
        <f t="shared" si="44"/>
        <v>2132</v>
      </c>
      <c r="F82" s="290">
        <f t="shared" si="45"/>
        <v>2185.2999999999997</v>
      </c>
      <c r="G82" s="290">
        <f t="shared" si="45"/>
        <v>2239.9324999999994</v>
      </c>
      <c r="H82" s="290">
        <f t="shared" si="45"/>
        <v>2295.9308124999993</v>
      </c>
      <c r="I82" s="290">
        <f t="shared" si="45"/>
        <v>2353.329082812499</v>
      </c>
      <c r="J82" s="290">
        <f t="shared" si="45"/>
        <v>2412.1623098828113</v>
      </c>
      <c r="K82" s="290">
        <f t="shared" si="45"/>
        <v>2472.4663676298815</v>
      </c>
      <c r="L82" s="290">
        <f t="shared" si="45"/>
        <v>2534.2780268206284</v>
      </c>
    </row>
    <row r="83" spans="1:12" s="291" customFormat="1" ht="24">
      <c r="A83" s="287" t="s">
        <v>272</v>
      </c>
      <c r="B83" s="288" t="s">
        <v>389</v>
      </c>
      <c r="C83" s="290">
        <f>+C84+C85</f>
        <v>2000</v>
      </c>
      <c r="D83" s="290">
        <f>+C83*1.04</f>
        <v>2080</v>
      </c>
      <c r="E83" s="290">
        <f t="shared" si="44"/>
        <v>2132</v>
      </c>
      <c r="F83" s="290">
        <f t="shared" si="45"/>
        <v>2185.2999999999997</v>
      </c>
      <c r="G83" s="290">
        <f t="shared" si="45"/>
        <v>2239.9324999999994</v>
      </c>
      <c r="H83" s="290">
        <f t="shared" si="45"/>
        <v>2295.9308124999993</v>
      </c>
      <c r="I83" s="290">
        <f t="shared" si="45"/>
        <v>2353.329082812499</v>
      </c>
      <c r="J83" s="290">
        <f t="shared" si="45"/>
        <v>2412.1623098828113</v>
      </c>
      <c r="K83" s="290">
        <f t="shared" si="45"/>
        <v>2472.4663676298815</v>
      </c>
      <c r="L83" s="290">
        <f t="shared" si="45"/>
        <v>2534.2780268206284</v>
      </c>
    </row>
    <row r="84" spans="1:12" s="28" customFormat="1" ht="24">
      <c r="A84" s="292" t="s">
        <v>273</v>
      </c>
      <c r="B84" s="293" t="s">
        <v>390</v>
      </c>
      <c r="C84" s="290">
        <v>1000</v>
      </c>
      <c r="D84" s="290">
        <f t="shared" si="43"/>
        <v>1040</v>
      </c>
      <c r="E84" s="290">
        <f t="shared" si="44"/>
        <v>1066</v>
      </c>
      <c r="F84" s="290">
        <f t="shared" si="45"/>
        <v>1092.6499999999999</v>
      </c>
      <c r="G84" s="290">
        <f t="shared" si="45"/>
        <v>1119.9662499999997</v>
      </c>
      <c r="H84" s="290">
        <f t="shared" si="45"/>
        <v>1147.9654062499997</v>
      </c>
      <c r="I84" s="290">
        <f t="shared" si="45"/>
        <v>1176.6645414062496</v>
      </c>
      <c r="J84" s="290">
        <f t="shared" si="45"/>
        <v>1206.0811549414057</v>
      </c>
      <c r="K84" s="290">
        <f t="shared" si="45"/>
        <v>1236.2331838149407</v>
      </c>
      <c r="L84" s="290">
        <f t="shared" si="45"/>
        <v>1267.1390134103142</v>
      </c>
    </row>
    <row r="85" spans="1:12" s="28" customFormat="1" ht="24">
      <c r="A85" s="292" t="s">
        <v>277</v>
      </c>
      <c r="B85" s="293" t="s">
        <v>391</v>
      </c>
      <c r="C85" s="290">
        <f>+C86</f>
        <v>1000</v>
      </c>
      <c r="D85" s="290">
        <f t="shared" si="43"/>
        <v>1040</v>
      </c>
      <c r="E85" s="290">
        <f t="shared" si="44"/>
        <v>1066</v>
      </c>
      <c r="F85" s="290">
        <f t="shared" si="45"/>
        <v>1092.6499999999999</v>
      </c>
      <c r="G85" s="290">
        <f t="shared" si="45"/>
        <v>1119.9662499999997</v>
      </c>
      <c r="H85" s="290">
        <f t="shared" si="45"/>
        <v>1147.9654062499997</v>
      </c>
      <c r="I85" s="290">
        <f t="shared" si="45"/>
        <v>1176.6645414062496</v>
      </c>
      <c r="J85" s="290">
        <f t="shared" si="45"/>
        <v>1206.0811549414057</v>
      </c>
      <c r="K85" s="290">
        <f t="shared" si="45"/>
        <v>1236.2331838149407</v>
      </c>
      <c r="L85" s="290">
        <f t="shared" si="45"/>
        <v>1267.1390134103142</v>
      </c>
    </row>
    <row r="86" spans="1:12" s="28" customFormat="1" ht="24">
      <c r="A86" s="292" t="s">
        <v>278</v>
      </c>
      <c r="B86" s="293" t="s">
        <v>392</v>
      </c>
      <c r="C86" s="290">
        <f>+C87</f>
        <v>1000</v>
      </c>
      <c r="D86" s="290">
        <f t="shared" si="43"/>
        <v>1040</v>
      </c>
      <c r="E86" s="290">
        <f t="shared" si="44"/>
        <v>1066</v>
      </c>
      <c r="F86" s="290">
        <f t="shared" si="45"/>
        <v>1092.6499999999999</v>
      </c>
      <c r="G86" s="290">
        <f t="shared" si="45"/>
        <v>1119.9662499999997</v>
      </c>
      <c r="H86" s="290">
        <f t="shared" si="45"/>
        <v>1147.9654062499997</v>
      </c>
      <c r="I86" s="290">
        <f t="shared" si="45"/>
        <v>1176.6645414062496</v>
      </c>
      <c r="J86" s="290">
        <f t="shared" si="45"/>
        <v>1206.0811549414057</v>
      </c>
      <c r="K86" s="290">
        <f t="shared" si="45"/>
        <v>1236.2331838149407</v>
      </c>
      <c r="L86" s="290">
        <f t="shared" si="45"/>
        <v>1267.1390134103142</v>
      </c>
    </row>
    <row r="87" spans="1:12" s="28" customFormat="1" ht="24" hidden="1">
      <c r="A87" s="292" t="s">
        <v>814</v>
      </c>
      <c r="B87" s="293" t="s">
        <v>393</v>
      </c>
      <c r="C87" s="290">
        <v>1000</v>
      </c>
      <c r="D87" s="290">
        <f t="shared" si="43"/>
        <v>1040</v>
      </c>
      <c r="E87" s="290">
        <f t="shared" si="44"/>
        <v>1066</v>
      </c>
      <c r="F87" s="290">
        <f t="shared" si="45"/>
        <v>1092.6499999999999</v>
      </c>
      <c r="G87" s="290">
        <f t="shared" si="45"/>
        <v>1119.9662499999997</v>
      </c>
      <c r="H87" s="290">
        <f t="shared" si="45"/>
        <v>1147.9654062499997</v>
      </c>
      <c r="I87" s="290">
        <f t="shared" si="45"/>
        <v>1176.6645414062496</v>
      </c>
      <c r="J87" s="290">
        <f t="shared" si="45"/>
        <v>1206.0811549414057</v>
      </c>
      <c r="K87" s="290">
        <f t="shared" si="45"/>
        <v>1236.2331838149407</v>
      </c>
      <c r="L87" s="290">
        <f t="shared" si="45"/>
        <v>1267.1390134103142</v>
      </c>
    </row>
    <row r="88" spans="1:12" s="291" customFormat="1" ht="12">
      <c r="A88" s="287" t="s">
        <v>283</v>
      </c>
      <c r="B88" s="288" t="s">
        <v>43</v>
      </c>
      <c r="C88" s="290">
        <v>47000000</v>
      </c>
      <c r="D88" s="290">
        <f>+C88*1.04</f>
        <v>48880000</v>
      </c>
      <c r="E88" s="290">
        <f t="shared" si="44"/>
        <v>50101999.99999999</v>
      </c>
      <c r="F88" s="290">
        <f t="shared" si="45"/>
        <v>51354549.999999985</v>
      </c>
      <c r="G88" s="290">
        <f t="shared" si="45"/>
        <v>52638413.74999998</v>
      </c>
      <c r="H88" s="290">
        <f t="shared" si="45"/>
        <v>53954374.09374997</v>
      </c>
      <c r="I88" s="290">
        <f t="shared" si="45"/>
        <v>55303233.446093716</v>
      </c>
      <c r="J88" s="290">
        <f t="shared" si="45"/>
        <v>56685814.28224605</v>
      </c>
      <c r="K88" s="290">
        <f t="shared" si="45"/>
        <v>58102959.6393022</v>
      </c>
      <c r="L88" s="290">
        <f t="shared" si="45"/>
        <v>59555533.63028475</v>
      </c>
    </row>
    <row r="89" spans="1:12" s="291" customFormat="1" ht="12">
      <c r="A89" s="287" t="s">
        <v>286</v>
      </c>
      <c r="B89" s="288" t="s">
        <v>815</v>
      </c>
      <c r="C89" s="290"/>
      <c r="D89" s="290">
        <f>+C89*1.04</f>
        <v>0</v>
      </c>
      <c r="E89" s="290">
        <f t="shared" si="44"/>
        <v>0</v>
      </c>
      <c r="F89" s="290">
        <f t="shared" si="45"/>
        <v>0</v>
      </c>
      <c r="G89" s="290">
        <f t="shared" si="45"/>
        <v>0</v>
      </c>
      <c r="H89" s="290">
        <f t="shared" si="45"/>
        <v>0</v>
      </c>
      <c r="I89" s="290">
        <f t="shared" si="45"/>
        <v>0</v>
      </c>
      <c r="J89" s="290">
        <f t="shared" si="45"/>
        <v>0</v>
      </c>
      <c r="K89" s="290">
        <f t="shared" si="45"/>
        <v>0</v>
      </c>
      <c r="L89" s="290">
        <f t="shared" si="45"/>
        <v>0</v>
      </c>
    </row>
    <row r="90" spans="1:12" s="28" customFormat="1" ht="12">
      <c r="A90" s="287" t="s">
        <v>635</v>
      </c>
      <c r="B90" s="288" t="s">
        <v>634</v>
      </c>
      <c r="C90" s="290">
        <v>14748558000</v>
      </c>
      <c r="D90" s="290">
        <f>+C90*1.04</f>
        <v>15338500320</v>
      </c>
      <c r="E90" s="290">
        <f t="shared" si="44"/>
        <v>15721962827.999998</v>
      </c>
      <c r="F90" s="290">
        <f t="shared" si="45"/>
        <v>16115011898.699997</v>
      </c>
      <c r="G90" s="290">
        <f t="shared" si="45"/>
        <v>16517887196.167496</v>
      </c>
      <c r="H90" s="290">
        <f t="shared" si="45"/>
        <v>16930834376.071682</v>
      </c>
      <c r="I90" s="290">
        <f t="shared" si="45"/>
        <v>17354105235.473473</v>
      </c>
      <c r="J90" s="290">
        <f t="shared" si="45"/>
        <v>17787957866.36031</v>
      </c>
      <c r="K90" s="290">
        <f t="shared" si="45"/>
        <v>18232656813.019318</v>
      </c>
      <c r="L90" s="290">
        <f t="shared" si="45"/>
        <v>18688473233.3448</v>
      </c>
    </row>
  </sheetData>
  <sheetProtection selectLockedCells="1"/>
  <mergeCells count="3">
    <mergeCell ref="A2:B2"/>
    <mergeCell ref="A1:B1"/>
    <mergeCell ref="A3:B3"/>
  </mergeCells>
  <printOptions horizontalCentered="1" verticalCentered="1"/>
  <pageMargins left="0.3937007874015748" right="0.53" top="0.5905511811023623" bottom="0.49" header="0.1968503937007874" footer="0.1968503937007874"/>
  <pageSetup horizontalDpi="300" verticalDpi="300" orientation="landscape" scale="75" r:id="rId1"/>
  <headerFooter alignWithMargins="0">
    <oddFooter>&amp;CPágina &amp;P de &amp;N</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E12" sqref="E12"/>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M250"/>
  <sheetViews>
    <sheetView zoomScalePageLayoutView="0" workbookViewId="0" topLeftCell="A126">
      <selection activeCell="C82" sqref="C82"/>
    </sheetView>
  </sheetViews>
  <sheetFormatPr defaultColWidth="11.421875" defaultRowHeight="12.75"/>
  <cols>
    <col min="1" max="1" width="13.7109375" style="77" customWidth="1"/>
    <col min="2" max="2" width="54.00390625" style="61" customWidth="1"/>
    <col min="3" max="3" width="18.140625" style="78" customWidth="1"/>
    <col min="4" max="4" width="17.7109375" style="63" customWidth="1"/>
    <col min="5" max="5" width="18.00390625" style="78" customWidth="1"/>
    <col min="6" max="6" width="16.57421875" style="63" customWidth="1"/>
    <col min="7" max="7" width="16.140625" style="78" customWidth="1"/>
    <col min="8" max="8" width="16.8515625" style="63" customWidth="1"/>
    <col min="9" max="9" width="15.8515625" style="78" customWidth="1"/>
    <col min="10" max="10" width="17.140625" style="63" customWidth="1"/>
    <col min="11" max="11" width="17.421875" style="78" customWidth="1"/>
    <col min="12" max="12" width="15.140625" style="63" customWidth="1"/>
    <col min="13" max="13" width="5.28125" style="63" hidden="1" customWidth="1"/>
    <col min="14" max="16384" width="11.421875" style="61" customWidth="1"/>
  </cols>
  <sheetData>
    <row r="2" spans="1:2" s="4" customFormat="1" ht="22.5" customHeight="1">
      <c r="A2" s="345" t="s">
        <v>235</v>
      </c>
      <c r="B2" s="345"/>
    </row>
    <row r="3" spans="1:2" s="3" customFormat="1" ht="12" customHeight="1">
      <c r="A3" s="344" t="s">
        <v>234</v>
      </c>
      <c r="B3" s="344"/>
    </row>
    <row r="4" spans="1:2" s="3" customFormat="1" ht="14.25">
      <c r="A4" s="345" t="s">
        <v>3</v>
      </c>
      <c r="B4" s="345"/>
    </row>
    <row r="5" ht="12">
      <c r="C5" s="286"/>
    </row>
    <row r="6" spans="1:13" s="56" customFormat="1" ht="12">
      <c r="A6" s="52" t="s">
        <v>304</v>
      </c>
      <c r="B6" s="53" t="s">
        <v>303</v>
      </c>
      <c r="C6" s="158">
        <v>2013</v>
      </c>
      <c r="D6" s="158">
        <f aca="true" t="shared" si="0" ref="D6:L6">+C6+1</f>
        <v>2014</v>
      </c>
      <c r="E6" s="158">
        <f t="shared" si="0"/>
        <v>2015</v>
      </c>
      <c r="F6" s="158">
        <f t="shared" si="0"/>
        <v>2016</v>
      </c>
      <c r="G6" s="158">
        <f t="shared" si="0"/>
        <v>2017</v>
      </c>
      <c r="H6" s="158">
        <f t="shared" si="0"/>
        <v>2018</v>
      </c>
      <c r="I6" s="158">
        <f t="shared" si="0"/>
        <v>2019</v>
      </c>
      <c r="J6" s="158">
        <f t="shared" si="0"/>
        <v>2020</v>
      </c>
      <c r="K6" s="158">
        <f t="shared" si="0"/>
        <v>2021</v>
      </c>
      <c r="L6" s="158">
        <f t="shared" si="0"/>
        <v>2022</v>
      </c>
      <c r="M6" s="55"/>
    </row>
    <row r="7" spans="1:13" ht="12">
      <c r="A7" s="275"/>
      <c r="B7" s="276" t="s">
        <v>616</v>
      </c>
      <c r="C7" s="277">
        <f>+C9+C76+C250</f>
        <v>21597877000.305</v>
      </c>
      <c r="D7" s="277">
        <f aca="true" t="shared" si="1" ref="D7:K7">+D9+D76+D250</f>
        <v>21684907919.709198</v>
      </c>
      <c r="E7" s="277">
        <f t="shared" si="1"/>
        <v>22227030617.70193</v>
      </c>
      <c r="F7" s="277">
        <f t="shared" si="1"/>
        <v>22782706383.144474</v>
      </c>
      <c r="G7" s="277">
        <f t="shared" si="1"/>
        <v>23352274042.723083</v>
      </c>
      <c r="H7" s="277">
        <f t="shared" si="1"/>
        <v>23936080893.79116</v>
      </c>
      <c r="I7" s="277">
        <f t="shared" si="1"/>
        <v>24534482916.135933</v>
      </c>
      <c r="J7" s="277">
        <f t="shared" si="1"/>
        <v>25147844989.039337</v>
      </c>
      <c r="K7" s="277">
        <f t="shared" si="1"/>
        <v>25776541113.765312</v>
      </c>
      <c r="L7" s="277">
        <f>+L9+L76+L250</f>
        <v>26420954641.609447</v>
      </c>
      <c r="M7" s="60"/>
    </row>
    <row r="8" spans="1:12" ht="12">
      <c r="A8" s="61"/>
      <c r="C8" s="160"/>
      <c r="D8" s="160"/>
      <c r="E8" s="160"/>
      <c r="F8" s="160"/>
      <c r="G8" s="160"/>
      <c r="H8" s="160"/>
      <c r="I8" s="160"/>
      <c r="J8" s="160"/>
      <c r="K8" s="160"/>
      <c r="L8" s="160"/>
    </row>
    <row r="9" spans="1:13" s="66" customFormat="1" ht="12">
      <c r="A9" s="64">
        <v>1</v>
      </c>
      <c r="B9" s="58" t="s">
        <v>116</v>
      </c>
      <c r="C9" s="159">
        <f>SUM(C11:C15)</f>
        <v>1228000000.305</v>
      </c>
      <c r="D9" s="159">
        <f>SUM(D11:D15)</f>
        <v>1277119999.7092</v>
      </c>
      <c r="E9" s="159">
        <f>SUM(E11:E15)</f>
        <v>1309047999.7019298</v>
      </c>
      <c r="F9" s="159">
        <f>SUM(F11:F15)</f>
        <v>1341774199.694478</v>
      </c>
      <c r="G9" s="159">
        <f aca="true" t="shared" si="2" ref="G9:L9">+G11+G13+G15</f>
        <v>1375318554.6868396</v>
      </c>
      <c r="H9" s="159">
        <f t="shared" si="2"/>
        <v>1409701518.5540106</v>
      </c>
      <c r="I9" s="159">
        <f t="shared" si="2"/>
        <v>1444944056.517861</v>
      </c>
      <c r="J9" s="159">
        <f t="shared" si="2"/>
        <v>1481067657.930807</v>
      </c>
      <c r="K9" s="159">
        <f t="shared" si="2"/>
        <v>1518094349.3790774</v>
      </c>
      <c r="L9" s="159">
        <f t="shared" si="2"/>
        <v>1556046708.1135542</v>
      </c>
      <c r="M9" s="65"/>
    </row>
    <row r="10" spans="1:12" ht="12">
      <c r="A10" s="61"/>
      <c r="C10" s="160"/>
      <c r="D10" s="152">
        <f>+C10*1.04</f>
        <v>0</v>
      </c>
      <c r="E10" s="160"/>
      <c r="F10" s="160"/>
      <c r="G10" s="160"/>
      <c r="H10" s="160"/>
      <c r="I10" s="160"/>
      <c r="J10" s="160"/>
      <c r="K10" s="160"/>
      <c r="L10" s="160"/>
    </row>
    <row r="11" spans="1:13" s="66" customFormat="1" ht="12">
      <c r="A11" s="64" t="s">
        <v>251</v>
      </c>
      <c r="B11" s="58" t="s">
        <v>133</v>
      </c>
      <c r="C11" s="159">
        <v>136621138</v>
      </c>
      <c r="D11" s="152">
        <f>+C11*1.04</f>
        <v>142085983.52</v>
      </c>
      <c r="E11" s="152">
        <f>+D11*1.025</f>
        <v>145638133.108</v>
      </c>
      <c r="F11" s="152">
        <f aca="true" t="shared" si="3" ref="F11:K11">+E11*1.025</f>
        <v>149279086.4357</v>
      </c>
      <c r="G11" s="152">
        <f t="shared" si="3"/>
        <v>153011063.5965925</v>
      </c>
      <c r="H11" s="152">
        <f t="shared" si="3"/>
        <v>156836340.18650728</v>
      </c>
      <c r="I11" s="152">
        <f t="shared" si="3"/>
        <v>160757248.69116995</v>
      </c>
      <c r="J11" s="152">
        <f t="shared" si="3"/>
        <v>164776179.90844917</v>
      </c>
      <c r="K11" s="152">
        <f t="shared" si="3"/>
        <v>168895584.40616038</v>
      </c>
      <c r="L11" s="152">
        <f>+K11*1.025</f>
        <v>173117974.0163144</v>
      </c>
      <c r="M11" s="65"/>
    </row>
    <row r="12" spans="1:12" ht="12">
      <c r="A12" s="61"/>
      <c r="C12" s="160"/>
      <c r="D12" s="152">
        <f>+C12*1.04</f>
        <v>0</v>
      </c>
      <c r="E12" s="152">
        <f aca="true" t="shared" si="4" ref="E12:K13">+D12*1.025</f>
        <v>0</v>
      </c>
      <c r="F12" s="160"/>
      <c r="G12" s="160"/>
      <c r="H12" s="160"/>
      <c r="I12" s="160"/>
      <c r="J12" s="160"/>
      <c r="K12" s="160"/>
      <c r="L12" s="160"/>
    </row>
    <row r="13" spans="1:13" s="66" customFormat="1" ht="12">
      <c r="A13" s="64" t="s">
        <v>252</v>
      </c>
      <c r="B13" s="58" t="s">
        <v>134</v>
      </c>
      <c r="C13" s="159">
        <v>86642901.6</v>
      </c>
      <c r="D13" s="152">
        <f>+C13*1.04</f>
        <v>90108617.66399999</v>
      </c>
      <c r="E13" s="152">
        <f t="shared" si="4"/>
        <v>92361333.10559998</v>
      </c>
      <c r="F13" s="152">
        <f t="shared" si="4"/>
        <v>94670366.43323998</v>
      </c>
      <c r="G13" s="152">
        <f t="shared" si="4"/>
        <v>97037125.59407097</v>
      </c>
      <c r="H13" s="152">
        <f t="shared" si="4"/>
        <v>99463053.73392273</v>
      </c>
      <c r="I13" s="152">
        <f t="shared" si="4"/>
        <v>101949630.07727079</v>
      </c>
      <c r="J13" s="152">
        <f t="shared" si="4"/>
        <v>104498370.82920255</v>
      </c>
      <c r="K13" s="152">
        <f t="shared" si="4"/>
        <v>107110830.0999326</v>
      </c>
      <c r="L13" s="152">
        <f>+K13*1.025</f>
        <v>109788600.8524309</v>
      </c>
      <c r="M13" s="65"/>
    </row>
    <row r="14" spans="1:12" ht="12">
      <c r="A14" s="61"/>
      <c r="C14" s="160"/>
      <c r="D14" s="152"/>
      <c r="E14" s="152"/>
      <c r="F14" s="152"/>
      <c r="G14" s="152"/>
      <c r="H14" s="152"/>
      <c r="I14" s="152"/>
      <c r="J14" s="152"/>
      <c r="K14" s="152"/>
      <c r="L14" s="152"/>
    </row>
    <row r="15" spans="1:13" ht="14.25" customHeight="1">
      <c r="A15" s="64" t="s">
        <v>253</v>
      </c>
      <c r="B15" s="58" t="s">
        <v>110</v>
      </c>
      <c r="C15" s="159">
        <f aca="true" t="shared" si="5" ref="C15:L15">+C16+C48+C69</f>
        <v>1004735960.7050002</v>
      </c>
      <c r="D15" s="159">
        <f t="shared" si="5"/>
        <v>1044925398.5252</v>
      </c>
      <c r="E15" s="159">
        <f t="shared" si="5"/>
        <v>1071048533.4883299</v>
      </c>
      <c r="F15" s="159">
        <f t="shared" si="5"/>
        <v>1097824746.825538</v>
      </c>
      <c r="G15" s="159">
        <f t="shared" si="5"/>
        <v>1125270365.4961762</v>
      </c>
      <c r="H15" s="159">
        <f t="shared" si="5"/>
        <v>1153402124.6335807</v>
      </c>
      <c r="I15" s="159">
        <f t="shared" si="5"/>
        <v>1182237177.7494202</v>
      </c>
      <c r="J15" s="159">
        <f t="shared" si="5"/>
        <v>1211793107.1931553</v>
      </c>
      <c r="K15" s="159">
        <f t="shared" si="5"/>
        <v>1242087934.8729844</v>
      </c>
      <c r="L15" s="159">
        <f t="shared" si="5"/>
        <v>1273140133.244809</v>
      </c>
      <c r="M15" s="65"/>
    </row>
    <row r="16" spans="1:12" ht="14.25" customHeight="1">
      <c r="A16" s="64" t="s">
        <v>478</v>
      </c>
      <c r="B16" s="58" t="s">
        <v>117</v>
      </c>
      <c r="C16" s="159">
        <f aca="true" t="shared" si="6" ref="C16:K16">+C17+C30+C32</f>
        <v>701683055.5050001</v>
      </c>
      <c r="D16" s="159">
        <f>+D17+D30+D32</f>
        <v>728306554.5252</v>
      </c>
      <c r="E16" s="159">
        <f>+E17+E30+E32</f>
        <v>746514218.38833</v>
      </c>
      <c r="F16" s="159">
        <f>+F17+F30+F32</f>
        <v>765177073.8480381</v>
      </c>
      <c r="G16" s="159">
        <f t="shared" si="6"/>
        <v>784306500.6942389</v>
      </c>
      <c r="H16" s="159">
        <f t="shared" si="6"/>
        <v>803914163.2115949</v>
      </c>
      <c r="I16" s="159">
        <f t="shared" si="6"/>
        <v>824012017.2918847</v>
      </c>
      <c r="J16" s="159">
        <f t="shared" si="6"/>
        <v>844612317.7241815</v>
      </c>
      <c r="K16" s="159">
        <f t="shared" si="6"/>
        <v>865727625.6672863</v>
      </c>
      <c r="L16" s="159">
        <f>+L17+L30+L32</f>
        <v>887370816.3089684</v>
      </c>
    </row>
    <row r="17" spans="1:13" s="66" customFormat="1" ht="12">
      <c r="A17" s="64" t="s">
        <v>479</v>
      </c>
      <c r="B17" s="58" t="s">
        <v>118</v>
      </c>
      <c r="C17" s="159">
        <f>+C18+C19+C22+C23+C24+C25+C26+C27+C29</f>
        <v>498697594.1050001</v>
      </c>
      <c r="D17" s="159">
        <f aca="true" t="shared" si="7" ref="D17:K17">+D18+D19+D22+D23+D24+D25+D26+D27+D29</f>
        <v>518645497.86920005</v>
      </c>
      <c r="E17" s="159">
        <f t="shared" si="7"/>
        <v>531611635.31593</v>
      </c>
      <c r="F17" s="159">
        <f t="shared" si="7"/>
        <v>544901926.1988281</v>
      </c>
      <c r="G17" s="159">
        <f t="shared" si="7"/>
        <v>558524474.3537987</v>
      </c>
      <c r="H17" s="159">
        <f t="shared" si="7"/>
        <v>572487586.2126437</v>
      </c>
      <c r="I17" s="159">
        <f t="shared" si="7"/>
        <v>586799775.8679597</v>
      </c>
      <c r="J17" s="159">
        <f t="shared" si="7"/>
        <v>601469770.2646586</v>
      </c>
      <c r="K17" s="159">
        <f t="shared" si="7"/>
        <v>616506514.5212752</v>
      </c>
      <c r="L17" s="159">
        <f>+L18+L19+L22+L23+L24+L25+L26+L27+L29</f>
        <v>631919177.384307</v>
      </c>
      <c r="M17" s="65"/>
    </row>
    <row r="18" spans="1:12" ht="12" hidden="1">
      <c r="A18" s="67" t="s">
        <v>480</v>
      </c>
      <c r="B18" s="68" t="s">
        <v>119</v>
      </c>
      <c r="C18" s="154">
        <f>369430318</f>
        <v>369430318</v>
      </c>
      <c r="D18" s="154">
        <f>+C18*1.04</f>
        <v>384207530.72</v>
      </c>
      <c r="E18" s="154">
        <f aca="true" t="shared" si="8" ref="E18:L18">+D18*1.025</f>
        <v>393812718.988</v>
      </c>
      <c r="F18" s="154">
        <f t="shared" si="8"/>
        <v>403658036.96269995</v>
      </c>
      <c r="G18" s="154">
        <f t="shared" si="8"/>
        <v>413749487.8867674</v>
      </c>
      <c r="H18" s="154">
        <f t="shared" si="8"/>
        <v>424093225.0839365</v>
      </c>
      <c r="I18" s="154">
        <f t="shared" si="8"/>
        <v>434695555.7110349</v>
      </c>
      <c r="J18" s="154">
        <f t="shared" si="8"/>
        <v>445562944.6038107</v>
      </c>
      <c r="K18" s="154">
        <f t="shared" si="8"/>
        <v>456702018.218906</v>
      </c>
      <c r="L18" s="154">
        <f t="shared" si="8"/>
        <v>468119568.6743786</v>
      </c>
    </row>
    <row r="19" spans="1:12" ht="12" hidden="1">
      <c r="A19" s="67" t="s">
        <v>481</v>
      </c>
      <c r="B19" s="68" t="s">
        <v>120</v>
      </c>
      <c r="C19" s="154">
        <f>(C20+C21)</f>
        <v>45889113.725</v>
      </c>
      <c r="D19" s="154">
        <f aca="true" t="shared" si="9" ref="D19:D29">+C19*1.04</f>
        <v>47724678.274000004</v>
      </c>
      <c r="E19" s="154">
        <f aca="true" t="shared" si="10" ref="E19:I29">+D19*1.025</f>
        <v>48917795.230849996</v>
      </c>
      <c r="F19" s="154">
        <f t="shared" si="10"/>
        <v>50140740.11162124</v>
      </c>
      <c r="G19" s="154">
        <f t="shared" si="10"/>
        <v>51394258.614411764</v>
      </c>
      <c r="H19" s="154">
        <f t="shared" si="10"/>
        <v>52679115.079772055</v>
      </c>
      <c r="I19" s="154">
        <f t="shared" si="10"/>
        <v>53996092.95676635</v>
      </c>
      <c r="J19" s="154">
        <f aca="true" t="shared" si="11" ref="J19:L29">+I19*1.025</f>
        <v>55345995.28068551</v>
      </c>
      <c r="K19" s="154">
        <f t="shared" si="11"/>
        <v>56729645.16270264</v>
      </c>
      <c r="L19" s="154">
        <f t="shared" si="11"/>
        <v>58147886.291770205</v>
      </c>
    </row>
    <row r="20" spans="1:12" ht="12" hidden="1">
      <c r="A20" s="67" t="s">
        <v>482</v>
      </c>
      <c r="B20" s="68" t="s">
        <v>137</v>
      </c>
      <c r="C20" s="154">
        <f>15735885*0.975</f>
        <v>15342487.875</v>
      </c>
      <c r="D20" s="154">
        <f t="shared" si="9"/>
        <v>15956187.39</v>
      </c>
      <c r="E20" s="154">
        <f t="shared" si="10"/>
        <v>16355092.074749999</v>
      </c>
      <c r="F20" s="154">
        <f t="shared" si="10"/>
        <v>16763969.376618747</v>
      </c>
      <c r="G20" s="154">
        <f t="shared" si="10"/>
        <v>17183068.611034214</v>
      </c>
      <c r="H20" s="154">
        <f t="shared" si="10"/>
        <v>17612645.32631007</v>
      </c>
      <c r="I20" s="154">
        <f t="shared" si="10"/>
        <v>18052961.459467817</v>
      </c>
      <c r="J20" s="154">
        <f t="shared" si="11"/>
        <v>18504285.49595451</v>
      </c>
      <c r="K20" s="154">
        <f t="shared" si="11"/>
        <v>18966892.63335337</v>
      </c>
      <c r="L20" s="154">
        <f t="shared" si="11"/>
        <v>19441064.949187204</v>
      </c>
    </row>
    <row r="21" spans="1:12" ht="12" hidden="1">
      <c r="A21" s="67" t="s">
        <v>483</v>
      </c>
      <c r="B21" s="68" t="s">
        <v>138</v>
      </c>
      <c r="C21" s="154">
        <f>32154343*95/100</f>
        <v>30546625.85</v>
      </c>
      <c r="D21" s="154">
        <f t="shared" si="9"/>
        <v>31768490.884000003</v>
      </c>
      <c r="E21" s="154">
        <f t="shared" si="10"/>
        <v>32562703.1561</v>
      </c>
      <c r="F21" s="154">
        <f t="shared" si="10"/>
        <v>33376770.7350025</v>
      </c>
      <c r="G21" s="154">
        <f t="shared" si="10"/>
        <v>34211190.00337756</v>
      </c>
      <c r="H21" s="154">
        <f t="shared" si="10"/>
        <v>35066469.753461994</v>
      </c>
      <c r="I21" s="154">
        <f t="shared" si="10"/>
        <v>35943131.49729854</v>
      </c>
      <c r="J21" s="154">
        <f t="shared" si="11"/>
        <v>36841709.784731</v>
      </c>
      <c r="K21" s="154">
        <f t="shared" si="11"/>
        <v>37762752.529349275</v>
      </c>
      <c r="L21" s="154">
        <f t="shared" si="11"/>
        <v>38706821.342583</v>
      </c>
    </row>
    <row r="22" spans="1:12" ht="12" hidden="1">
      <c r="A22" s="67" t="s">
        <v>484</v>
      </c>
      <c r="B22" s="68" t="s">
        <v>121</v>
      </c>
      <c r="C22" s="154">
        <f>19932128*0.97</f>
        <v>19334164.16</v>
      </c>
      <c r="D22" s="154">
        <f t="shared" si="9"/>
        <v>20107530.7264</v>
      </c>
      <c r="E22" s="154">
        <f t="shared" si="10"/>
        <v>20610218.994559996</v>
      </c>
      <c r="F22" s="154">
        <f t="shared" si="10"/>
        <v>21125474.469423994</v>
      </c>
      <c r="G22" s="154">
        <f t="shared" si="10"/>
        <v>21653611.33115959</v>
      </c>
      <c r="H22" s="154">
        <f t="shared" si="10"/>
        <v>22194951.61443858</v>
      </c>
      <c r="I22" s="154">
        <f t="shared" si="10"/>
        <v>22749825.40479954</v>
      </c>
      <c r="J22" s="154">
        <f t="shared" si="11"/>
        <v>23318571.039919525</v>
      </c>
      <c r="K22" s="154">
        <f t="shared" si="11"/>
        <v>23901535.31591751</v>
      </c>
      <c r="L22" s="154">
        <f t="shared" si="11"/>
        <v>24499073.698815446</v>
      </c>
    </row>
    <row r="23" spans="1:12" ht="12" hidden="1">
      <c r="A23" s="67" t="s">
        <v>485</v>
      </c>
      <c r="B23" s="68" t="s">
        <v>122</v>
      </c>
      <c r="C23" s="154">
        <f>22815403*0.97</f>
        <v>22130940.91</v>
      </c>
      <c r="D23" s="154">
        <f t="shared" si="9"/>
        <v>23016178.5464</v>
      </c>
      <c r="E23" s="154">
        <f t="shared" si="10"/>
        <v>23591583.010059997</v>
      </c>
      <c r="F23" s="154">
        <f t="shared" si="10"/>
        <v>24181372.585311495</v>
      </c>
      <c r="G23" s="154">
        <f t="shared" si="10"/>
        <v>24785906.89994428</v>
      </c>
      <c r="H23" s="154">
        <f t="shared" si="10"/>
        <v>25405554.572442885</v>
      </c>
      <c r="I23" s="154">
        <f t="shared" si="10"/>
        <v>26040693.436753955</v>
      </c>
      <c r="J23" s="154">
        <f t="shared" si="11"/>
        <v>26691710.772672802</v>
      </c>
      <c r="K23" s="154">
        <f t="shared" si="11"/>
        <v>27359003.54198962</v>
      </c>
      <c r="L23" s="154">
        <f t="shared" si="11"/>
        <v>28042978.630539358</v>
      </c>
    </row>
    <row r="24" spans="1:12" ht="12" hidden="1">
      <c r="A24" s="67" t="s">
        <v>486</v>
      </c>
      <c r="B24" s="68" t="s">
        <v>123</v>
      </c>
      <c r="C24" s="154">
        <f>12280320*0.97</f>
        <v>11911910.4</v>
      </c>
      <c r="D24" s="154">
        <f t="shared" si="9"/>
        <v>12388386.816000002</v>
      </c>
      <c r="E24" s="154">
        <f t="shared" si="10"/>
        <v>12698096.4864</v>
      </c>
      <c r="F24" s="154">
        <f t="shared" si="10"/>
        <v>13015548.898559999</v>
      </c>
      <c r="G24" s="154">
        <f t="shared" si="10"/>
        <v>13340937.621023998</v>
      </c>
      <c r="H24" s="154">
        <f t="shared" si="10"/>
        <v>13674461.061549596</v>
      </c>
      <c r="I24" s="154">
        <f t="shared" si="10"/>
        <v>14016322.588088335</v>
      </c>
      <c r="J24" s="154">
        <f t="shared" si="11"/>
        <v>14366730.652790543</v>
      </c>
      <c r="K24" s="154">
        <f t="shared" si="11"/>
        <v>14725898.919110306</v>
      </c>
      <c r="L24" s="154">
        <f t="shared" si="11"/>
        <v>15094046.392088061</v>
      </c>
    </row>
    <row r="25" spans="1:12" ht="12" hidden="1">
      <c r="A25" s="67" t="s">
        <v>487</v>
      </c>
      <c r="B25" s="68" t="s">
        <v>124</v>
      </c>
      <c r="C25" s="154">
        <f>10000000*0.98</f>
        <v>9800000</v>
      </c>
      <c r="D25" s="154">
        <f t="shared" si="9"/>
        <v>10192000</v>
      </c>
      <c r="E25" s="154">
        <f t="shared" si="10"/>
        <v>10446800</v>
      </c>
      <c r="F25" s="154">
        <f t="shared" si="10"/>
        <v>10707970</v>
      </c>
      <c r="G25" s="154">
        <f t="shared" si="10"/>
        <v>10975669.249999998</v>
      </c>
      <c r="H25" s="154">
        <f t="shared" si="10"/>
        <v>11250060.981249997</v>
      </c>
      <c r="I25" s="154">
        <f t="shared" si="10"/>
        <v>11531312.505781246</v>
      </c>
      <c r="J25" s="154">
        <f t="shared" si="11"/>
        <v>11819595.318425776</v>
      </c>
      <c r="K25" s="154">
        <f t="shared" si="11"/>
        <v>12115085.20138642</v>
      </c>
      <c r="L25" s="154">
        <f t="shared" si="11"/>
        <v>12417962.33142108</v>
      </c>
    </row>
    <row r="26" spans="1:12" ht="12" hidden="1">
      <c r="A26" s="67" t="s">
        <v>488</v>
      </c>
      <c r="B26" s="68" t="s">
        <v>125</v>
      </c>
      <c r="C26" s="154">
        <v>10000000</v>
      </c>
      <c r="D26" s="154">
        <f t="shared" si="9"/>
        <v>10400000</v>
      </c>
      <c r="E26" s="154">
        <f t="shared" si="10"/>
        <v>10660000</v>
      </c>
      <c r="F26" s="154">
        <f t="shared" si="10"/>
        <v>10926499.999999998</v>
      </c>
      <c r="G26" s="154">
        <f t="shared" si="10"/>
        <v>11199662.499999996</v>
      </c>
      <c r="H26" s="154">
        <f t="shared" si="10"/>
        <v>11479654.062499994</v>
      </c>
      <c r="I26" s="154">
        <f t="shared" si="10"/>
        <v>11766645.414062493</v>
      </c>
      <c r="J26" s="154">
        <f t="shared" si="11"/>
        <v>12060811.549414054</v>
      </c>
      <c r="K26" s="154">
        <f t="shared" si="11"/>
        <v>12362331.838149404</v>
      </c>
      <c r="L26" s="154">
        <f t="shared" si="11"/>
        <v>12671390.134103138</v>
      </c>
    </row>
    <row r="27" spans="1:12" ht="12" hidden="1">
      <c r="A27" s="67" t="s">
        <v>489</v>
      </c>
      <c r="B27" s="68" t="s">
        <v>126</v>
      </c>
      <c r="C27" s="154">
        <f>+C28</f>
        <v>8148698.91</v>
      </c>
      <c r="D27" s="154">
        <f t="shared" si="9"/>
        <v>8474646.8664</v>
      </c>
      <c r="E27" s="154">
        <f t="shared" si="10"/>
        <v>8686513.038059998</v>
      </c>
      <c r="F27" s="154">
        <f t="shared" si="10"/>
        <v>8903675.864011498</v>
      </c>
      <c r="G27" s="154">
        <f t="shared" si="10"/>
        <v>9126267.760611786</v>
      </c>
      <c r="H27" s="154">
        <f t="shared" si="10"/>
        <v>9354424.45462708</v>
      </c>
      <c r="I27" s="154">
        <f t="shared" si="10"/>
        <v>9588285.065992756</v>
      </c>
      <c r="J27" s="154">
        <f t="shared" si="11"/>
        <v>9827992.192642573</v>
      </c>
      <c r="K27" s="154">
        <f t="shared" si="11"/>
        <v>10073691.997458637</v>
      </c>
      <c r="L27" s="154">
        <f t="shared" si="11"/>
        <v>10325534.297395103</v>
      </c>
    </row>
    <row r="28" spans="1:12" ht="12" hidden="1">
      <c r="A28" s="67" t="s">
        <v>490</v>
      </c>
      <c r="B28" s="68" t="s">
        <v>135</v>
      </c>
      <c r="C28" s="154">
        <f>8231009*0.99</f>
        <v>8148698.91</v>
      </c>
      <c r="D28" s="154">
        <f t="shared" si="9"/>
        <v>8474646.8664</v>
      </c>
      <c r="E28" s="154">
        <f t="shared" si="10"/>
        <v>8686513.038059998</v>
      </c>
      <c r="F28" s="154">
        <f t="shared" si="10"/>
        <v>8903675.864011498</v>
      </c>
      <c r="G28" s="154">
        <f t="shared" si="10"/>
        <v>9126267.760611786</v>
      </c>
      <c r="H28" s="154">
        <f t="shared" si="10"/>
        <v>9354424.45462708</v>
      </c>
      <c r="I28" s="154">
        <f t="shared" si="10"/>
        <v>9588285.065992756</v>
      </c>
      <c r="J28" s="154">
        <f t="shared" si="11"/>
        <v>9827992.192642573</v>
      </c>
      <c r="K28" s="154">
        <f t="shared" si="11"/>
        <v>10073691.997458637</v>
      </c>
      <c r="L28" s="154">
        <f t="shared" si="11"/>
        <v>10325534.297395103</v>
      </c>
    </row>
    <row r="29" spans="1:12" ht="12" hidden="1">
      <c r="A29" s="67" t="s">
        <v>491</v>
      </c>
      <c r="B29" s="68" t="s">
        <v>136</v>
      </c>
      <c r="C29" s="154">
        <f>2052393+55</f>
        <v>2052448</v>
      </c>
      <c r="D29" s="154">
        <f t="shared" si="9"/>
        <v>2134545.92</v>
      </c>
      <c r="E29" s="154">
        <f t="shared" si="10"/>
        <v>2187909.5679999995</v>
      </c>
      <c r="F29" s="154">
        <f t="shared" si="10"/>
        <v>2242607.307199999</v>
      </c>
      <c r="G29" s="154">
        <f t="shared" si="10"/>
        <v>2298672.489879999</v>
      </c>
      <c r="H29" s="154">
        <f t="shared" si="10"/>
        <v>2356139.3021269985</v>
      </c>
      <c r="I29" s="154">
        <f t="shared" si="10"/>
        <v>2415042.7846801733</v>
      </c>
      <c r="J29" s="154">
        <f t="shared" si="11"/>
        <v>2475418.8542971774</v>
      </c>
      <c r="K29" s="154">
        <f t="shared" si="11"/>
        <v>2537304.325654607</v>
      </c>
      <c r="L29" s="154">
        <f t="shared" si="11"/>
        <v>2600736.933795972</v>
      </c>
    </row>
    <row r="30" spans="1:13" s="66" customFormat="1" ht="12">
      <c r="A30" s="64" t="s">
        <v>492</v>
      </c>
      <c r="B30" s="58" t="s">
        <v>127</v>
      </c>
      <c r="C30" s="159">
        <f aca="true" t="shared" si="12" ref="C30:K30">+C31</f>
        <v>26034800</v>
      </c>
      <c r="D30" s="159">
        <f t="shared" si="12"/>
        <v>27076192</v>
      </c>
      <c r="E30" s="159">
        <f t="shared" si="12"/>
        <v>27753096.799999997</v>
      </c>
      <c r="F30" s="159">
        <f t="shared" si="12"/>
        <v>28446924.219999995</v>
      </c>
      <c r="G30" s="159">
        <f t="shared" si="12"/>
        <v>29158097.325499993</v>
      </c>
      <c r="H30" s="159">
        <f t="shared" si="12"/>
        <v>29887049.75863749</v>
      </c>
      <c r="I30" s="159">
        <f t="shared" si="12"/>
        <v>30634226.002603427</v>
      </c>
      <c r="J30" s="159">
        <f t="shared" si="12"/>
        <v>31400081.65266851</v>
      </c>
      <c r="K30" s="159">
        <f t="shared" si="12"/>
        <v>32185083.69398522</v>
      </c>
      <c r="L30" s="159">
        <f>+L31</f>
        <v>32989710.786334846</v>
      </c>
      <c r="M30" s="65"/>
    </row>
    <row r="31" spans="1:12" ht="12" hidden="1">
      <c r="A31" s="67" t="s">
        <v>493</v>
      </c>
      <c r="B31" s="68" t="s">
        <v>115</v>
      </c>
      <c r="C31" s="154">
        <f>26840000*0.97</f>
        <v>26034800</v>
      </c>
      <c r="D31" s="154">
        <f>+C31*1.04</f>
        <v>27076192</v>
      </c>
      <c r="E31" s="154">
        <f>+D31*1.025</f>
        <v>27753096.799999997</v>
      </c>
      <c r="F31" s="154">
        <f>+E31*1.025</f>
        <v>28446924.219999995</v>
      </c>
      <c r="G31" s="154">
        <f aca="true" t="shared" si="13" ref="G31:L31">+F31*1.025</f>
        <v>29158097.325499993</v>
      </c>
      <c r="H31" s="154">
        <f t="shared" si="13"/>
        <v>29887049.75863749</v>
      </c>
      <c r="I31" s="154">
        <f t="shared" si="13"/>
        <v>30634226.002603427</v>
      </c>
      <c r="J31" s="154">
        <f t="shared" si="13"/>
        <v>31400081.65266851</v>
      </c>
      <c r="K31" s="154">
        <f t="shared" si="13"/>
        <v>32185083.69398522</v>
      </c>
      <c r="L31" s="154">
        <f t="shared" si="13"/>
        <v>32989710.786334846</v>
      </c>
    </row>
    <row r="32" spans="1:12" ht="12">
      <c r="A32" s="64" t="s">
        <v>494</v>
      </c>
      <c r="B32" s="58" t="s">
        <v>111</v>
      </c>
      <c r="C32" s="159">
        <f aca="true" t="shared" si="14" ref="C32:K32">+C33+C42</f>
        <v>176950661.39999998</v>
      </c>
      <c r="D32" s="159">
        <f t="shared" si="14"/>
        <v>182584864.65600002</v>
      </c>
      <c r="E32" s="159">
        <f t="shared" si="14"/>
        <v>187149486.2724</v>
      </c>
      <c r="F32" s="159">
        <f t="shared" si="14"/>
        <v>191828223.42920998</v>
      </c>
      <c r="G32" s="159">
        <f t="shared" si="14"/>
        <v>196623929.0149402</v>
      </c>
      <c r="H32" s="159">
        <f t="shared" si="14"/>
        <v>201539527.24031368</v>
      </c>
      <c r="I32" s="159">
        <f t="shared" si="14"/>
        <v>206578015.4213215</v>
      </c>
      <c r="J32" s="159">
        <f t="shared" si="14"/>
        <v>211742465.80685452</v>
      </c>
      <c r="K32" s="159">
        <f t="shared" si="14"/>
        <v>217036027.4520259</v>
      </c>
      <c r="L32" s="159">
        <f>+L33+L42</f>
        <v>222461928.13832653</v>
      </c>
    </row>
    <row r="33" spans="1:12" ht="12" hidden="1">
      <c r="A33" s="67" t="s">
        <v>495</v>
      </c>
      <c r="B33" s="68" t="s">
        <v>387</v>
      </c>
      <c r="C33" s="154">
        <f>+C34</f>
        <v>119704497.3</v>
      </c>
      <c r="D33" s="154">
        <f>+D34</f>
        <v>124335283.752</v>
      </c>
      <c r="E33" s="154">
        <f aca="true" t="shared" si="15" ref="E33:L33">+D33*1.025</f>
        <v>127443665.8458</v>
      </c>
      <c r="F33" s="154">
        <f t="shared" si="15"/>
        <v>130629757.49194498</v>
      </c>
      <c r="G33" s="154">
        <f t="shared" si="15"/>
        <v>133895501.4292436</v>
      </c>
      <c r="H33" s="154">
        <f t="shared" si="15"/>
        <v>137242888.96497467</v>
      </c>
      <c r="I33" s="154">
        <f t="shared" si="15"/>
        <v>140673961.189099</v>
      </c>
      <c r="J33" s="154">
        <f t="shared" si="15"/>
        <v>144190810.21882647</v>
      </c>
      <c r="K33" s="154">
        <f t="shared" si="15"/>
        <v>147795580.47429714</v>
      </c>
      <c r="L33" s="154">
        <f t="shared" si="15"/>
        <v>151490469.98615456</v>
      </c>
    </row>
    <row r="34" spans="1:12" ht="12" hidden="1">
      <c r="A34" s="67" t="s">
        <v>496</v>
      </c>
      <c r="B34" s="68" t="s">
        <v>128</v>
      </c>
      <c r="C34" s="154">
        <f>+C35+C38+C39+C40+C41</f>
        <v>119704497.3</v>
      </c>
      <c r="D34" s="154">
        <f>+D35+D38+D39+D40+D41</f>
        <v>124335283.752</v>
      </c>
      <c r="E34" s="154">
        <f aca="true" t="shared" si="16" ref="E34:H47">+D34*1.025</f>
        <v>127443665.8458</v>
      </c>
      <c r="F34" s="154">
        <f t="shared" si="16"/>
        <v>130629757.49194498</v>
      </c>
      <c r="G34" s="154">
        <f t="shared" si="16"/>
        <v>133895501.4292436</v>
      </c>
      <c r="H34" s="154">
        <f t="shared" si="16"/>
        <v>137242888.96497467</v>
      </c>
      <c r="I34" s="154">
        <f aca="true" t="shared" si="17" ref="I34:L47">+H34*1.025</f>
        <v>140673961.189099</v>
      </c>
      <c r="J34" s="154">
        <f t="shared" si="17"/>
        <v>144190810.21882647</v>
      </c>
      <c r="K34" s="154">
        <f t="shared" si="17"/>
        <v>147795580.47429714</v>
      </c>
      <c r="L34" s="154">
        <f t="shared" si="17"/>
        <v>151490469.98615456</v>
      </c>
    </row>
    <row r="35" spans="1:12" ht="12" hidden="1">
      <c r="A35" s="67" t="s">
        <v>497</v>
      </c>
      <c r="B35" s="68" t="s">
        <v>129</v>
      </c>
      <c r="C35" s="154">
        <f>+C36+C37</f>
        <v>41343081</v>
      </c>
      <c r="D35" s="154">
        <f>+D36+D37</f>
        <v>42996804.24</v>
      </c>
      <c r="E35" s="154">
        <f t="shared" si="16"/>
        <v>44071724.346</v>
      </c>
      <c r="F35" s="154">
        <f t="shared" si="16"/>
        <v>45173517.45465</v>
      </c>
      <c r="G35" s="154">
        <f t="shared" si="16"/>
        <v>46302855.391016245</v>
      </c>
      <c r="H35" s="154">
        <f t="shared" si="16"/>
        <v>47460426.775791645</v>
      </c>
      <c r="I35" s="154">
        <f t="shared" si="17"/>
        <v>48646937.44518643</v>
      </c>
      <c r="J35" s="154">
        <f t="shared" si="17"/>
        <v>49863110.88131609</v>
      </c>
      <c r="K35" s="154">
        <f t="shared" si="17"/>
        <v>51109688.65334898</v>
      </c>
      <c r="L35" s="154">
        <f t="shared" si="17"/>
        <v>52387430.8696827</v>
      </c>
    </row>
    <row r="36" spans="1:12" ht="12" hidden="1">
      <c r="A36" s="67" t="s">
        <v>498</v>
      </c>
      <c r="B36" s="68" t="s">
        <v>139</v>
      </c>
      <c r="C36" s="154">
        <f>31403160*0.975</f>
        <v>30618081</v>
      </c>
      <c r="D36" s="154">
        <f>+C36*1.04</f>
        <v>31842804.240000002</v>
      </c>
      <c r="E36" s="154">
        <f t="shared" si="16"/>
        <v>32638874.346</v>
      </c>
      <c r="F36" s="154">
        <f t="shared" si="16"/>
        <v>33454846.20465</v>
      </c>
      <c r="G36" s="154">
        <f t="shared" si="16"/>
        <v>34291217.359766245</v>
      </c>
      <c r="H36" s="154">
        <f t="shared" si="16"/>
        <v>35148497.7937604</v>
      </c>
      <c r="I36" s="154">
        <f t="shared" si="17"/>
        <v>36027210.238604404</v>
      </c>
      <c r="J36" s="154">
        <f t="shared" si="17"/>
        <v>36927890.49456951</v>
      </c>
      <c r="K36" s="154">
        <f t="shared" si="17"/>
        <v>37851087.75693374</v>
      </c>
      <c r="L36" s="154">
        <f t="shared" si="17"/>
        <v>38797364.95085708</v>
      </c>
    </row>
    <row r="37" spans="1:12" ht="12" hidden="1">
      <c r="A37" s="67" t="s">
        <v>499</v>
      </c>
      <c r="B37" s="68" t="s">
        <v>140</v>
      </c>
      <c r="C37" s="154">
        <f>11000000*0.975</f>
        <v>10725000</v>
      </c>
      <c r="D37" s="154">
        <f>+C37*1.04</f>
        <v>11154000</v>
      </c>
      <c r="E37" s="154">
        <f t="shared" si="16"/>
        <v>11432849.999999998</v>
      </c>
      <c r="F37" s="154">
        <f t="shared" si="16"/>
        <v>11718671.249999996</v>
      </c>
      <c r="G37" s="154">
        <f t="shared" si="16"/>
        <v>12011638.031249994</v>
      </c>
      <c r="H37" s="154">
        <f t="shared" si="16"/>
        <v>12311928.982031243</v>
      </c>
      <c r="I37" s="154">
        <f t="shared" si="17"/>
        <v>12619727.206582023</v>
      </c>
      <c r="J37" s="154">
        <f t="shared" si="17"/>
        <v>12935220.386746572</v>
      </c>
      <c r="K37" s="154">
        <f t="shared" si="17"/>
        <v>13258600.896415235</v>
      </c>
      <c r="L37" s="154">
        <f t="shared" si="17"/>
        <v>13590065.918825615</v>
      </c>
    </row>
    <row r="38" spans="1:12" ht="12" hidden="1">
      <c r="A38" s="67" t="s">
        <v>500</v>
      </c>
      <c r="B38" s="68" t="s">
        <v>130</v>
      </c>
      <c r="C38" s="154">
        <v>44333880</v>
      </c>
      <c r="D38" s="154">
        <f>44333880*1.04</f>
        <v>46107235.2</v>
      </c>
      <c r="E38" s="154">
        <f t="shared" si="16"/>
        <v>47259916.08</v>
      </c>
      <c r="F38" s="154">
        <f t="shared" si="16"/>
        <v>48441413.98199999</v>
      </c>
      <c r="G38" s="154">
        <f t="shared" si="16"/>
        <v>49652449.33154999</v>
      </c>
      <c r="H38" s="154">
        <f t="shared" si="16"/>
        <v>50893760.56483873</v>
      </c>
      <c r="I38" s="154">
        <f t="shared" si="17"/>
        <v>52166104.578959696</v>
      </c>
      <c r="J38" s="154">
        <f t="shared" si="17"/>
        <v>53470257.19343369</v>
      </c>
      <c r="K38" s="154">
        <f t="shared" si="17"/>
        <v>54807013.62326953</v>
      </c>
      <c r="L38" s="154">
        <f t="shared" si="17"/>
        <v>56177188.96385126</v>
      </c>
    </row>
    <row r="39" spans="1:12" ht="12" hidden="1">
      <c r="A39" s="67" t="s">
        <v>501</v>
      </c>
      <c r="B39" s="68" t="s">
        <v>131</v>
      </c>
      <c r="C39" s="154">
        <v>1928436</v>
      </c>
      <c r="D39" s="154">
        <v>1928436</v>
      </c>
      <c r="E39" s="154">
        <f t="shared" si="16"/>
        <v>1976646.9</v>
      </c>
      <c r="F39" s="154">
        <f t="shared" si="16"/>
        <v>2026063.0724999998</v>
      </c>
      <c r="G39" s="154">
        <f t="shared" si="16"/>
        <v>2076714.6493124997</v>
      </c>
      <c r="H39" s="154">
        <f t="shared" si="16"/>
        <v>2128632.515545312</v>
      </c>
      <c r="I39" s="154">
        <f t="shared" si="17"/>
        <v>2181848.3284339444</v>
      </c>
      <c r="J39" s="154">
        <f t="shared" si="17"/>
        <v>2236394.5366447926</v>
      </c>
      <c r="K39" s="154">
        <f t="shared" si="17"/>
        <v>2292304.400060912</v>
      </c>
      <c r="L39" s="154">
        <f t="shared" si="17"/>
        <v>2349612.0100624347</v>
      </c>
    </row>
    <row r="40" spans="1:12" ht="12" hidden="1">
      <c r="A40" s="67" t="s">
        <v>502</v>
      </c>
      <c r="B40" s="68" t="s">
        <v>132</v>
      </c>
      <c r="C40" s="154">
        <f>30864308*0.975</f>
        <v>30092700.3</v>
      </c>
      <c r="D40" s="154">
        <f>+C40*1.04</f>
        <v>31296408.312000003</v>
      </c>
      <c r="E40" s="154">
        <f t="shared" si="16"/>
        <v>32078818.5198</v>
      </c>
      <c r="F40" s="154">
        <f t="shared" si="16"/>
        <v>32880788.982794996</v>
      </c>
      <c r="G40" s="154">
        <f t="shared" si="16"/>
        <v>33702808.707364865</v>
      </c>
      <c r="H40" s="154">
        <f t="shared" si="16"/>
        <v>34545378.925048985</v>
      </c>
      <c r="I40" s="154">
        <f t="shared" si="17"/>
        <v>35409013.39817521</v>
      </c>
      <c r="J40" s="154">
        <f t="shared" si="17"/>
        <v>36294238.73312958</v>
      </c>
      <c r="K40" s="154">
        <f t="shared" si="17"/>
        <v>37201594.70145782</v>
      </c>
      <c r="L40" s="154">
        <f t="shared" si="17"/>
        <v>38131634.56899426</v>
      </c>
    </row>
    <row r="41" spans="1:12" ht="12" hidden="1">
      <c r="A41" s="67" t="s">
        <v>503</v>
      </c>
      <c r="B41" s="68" t="s">
        <v>148</v>
      </c>
      <c r="C41" s="154">
        <v>2006400</v>
      </c>
      <c r="D41" s="154">
        <v>2006400</v>
      </c>
      <c r="E41" s="154">
        <f t="shared" si="16"/>
        <v>2056559.9999999998</v>
      </c>
      <c r="F41" s="154">
        <f t="shared" si="16"/>
        <v>2107973.9999999995</v>
      </c>
      <c r="G41" s="154">
        <f t="shared" si="16"/>
        <v>2160673.349999999</v>
      </c>
      <c r="H41" s="154">
        <f t="shared" si="16"/>
        <v>2214690.183749999</v>
      </c>
      <c r="I41" s="154">
        <f t="shared" si="17"/>
        <v>2270057.438343749</v>
      </c>
      <c r="J41" s="154">
        <f t="shared" si="17"/>
        <v>2326808.8743023425</v>
      </c>
      <c r="K41" s="154">
        <f t="shared" si="17"/>
        <v>2384979.096159901</v>
      </c>
      <c r="L41" s="154">
        <f t="shared" si="17"/>
        <v>2444603.5735638984</v>
      </c>
    </row>
    <row r="42" spans="1:12" ht="12" hidden="1">
      <c r="A42" s="67" t="s">
        <v>504</v>
      </c>
      <c r="B42" s="68" t="s">
        <v>201</v>
      </c>
      <c r="C42" s="154">
        <f>SUM(C43:C47)</f>
        <v>57246164.099999994</v>
      </c>
      <c r="D42" s="154">
        <f>SUM(D43:D47)</f>
        <v>58249580.904</v>
      </c>
      <c r="E42" s="154">
        <f t="shared" si="16"/>
        <v>59705820.426599994</v>
      </c>
      <c r="F42" s="154">
        <f t="shared" si="16"/>
        <v>61198465.93726499</v>
      </c>
      <c r="G42" s="154">
        <f t="shared" si="16"/>
        <v>62728427.58569661</v>
      </c>
      <c r="H42" s="154">
        <f t="shared" si="16"/>
        <v>64296638.275339015</v>
      </c>
      <c r="I42" s="154">
        <f t="shared" si="17"/>
        <v>65904054.23222248</v>
      </c>
      <c r="J42" s="154">
        <f t="shared" si="17"/>
        <v>67551655.58802804</v>
      </c>
      <c r="K42" s="154">
        <f t="shared" si="17"/>
        <v>69240446.97772874</v>
      </c>
      <c r="L42" s="154">
        <f t="shared" si="17"/>
        <v>70971458.15217195</v>
      </c>
    </row>
    <row r="43" spans="1:12" ht="12" hidden="1">
      <c r="A43" s="67" t="s">
        <v>505</v>
      </c>
      <c r="B43" s="68" t="s">
        <v>202</v>
      </c>
      <c r="C43" s="154">
        <v>3216120</v>
      </c>
      <c r="D43" s="154">
        <v>3216120</v>
      </c>
      <c r="E43" s="154">
        <f t="shared" si="16"/>
        <v>3296522.9999999995</v>
      </c>
      <c r="F43" s="154">
        <f t="shared" si="16"/>
        <v>3378936.0749999993</v>
      </c>
      <c r="G43" s="154">
        <f t="shared" si="16"/>
        <v>3463409.476874999</v>
      </c>
      <c r="H43" s="154">
        <f t="shared" si="16"/>
        <v>3549994.7137968736</v>
      </c>
      <c r="I43" s="154">
        <f t="shared" si="17"/>
        <v>3638744.581641795</v>
      </c>
      <c r="J43" s="154">
        <f t="shared" si="17"/>
        <v>3729713.1961828396</v>
      </c>
      <c r="K43" s="154">
        <f t="shared" si="17"/>
        <v>3822956.0260874103</v>
      </c>
      <c r="L43" s="154">
        <f t="shared" si="17"/>
        <v>3918529.9267395954</v>
      </c>
    </row>
    <row r="44" spans="1:12" ht="12" hidden="1">
      <c r="A44" s="67" t="s">
        <v>506</v>
      </c>
      <c r="B44" s="68" t="s">
        <v>203</v>
      </c>
      <c r="C44" s="154">
        <v>19296408</v>
      </c>
      <c r="D44" s="154">
        <v>19296408</v>
      </c>
      <c r="E44" s="154">
        <f t="shared" si="16"/>
        <v>19778818.2</v>
      </c>
      <c r="F44" s="154">
        <f t="shared" si="16"/>
        <v>20273288.654999997</v>
      </c>
      <c r="G44" s="154">
        <f t="shared" si="16"/>
        <v>20780120.871374995</v>
      </c>
      <c r="H44" s="154">
        <f t="shared" si="16"/>
        <v>21299623.893159367</v>
      </c>
      <c r="I44" s="154">
        <f t="shared" si="17"/>
        <v>21832114.49048835</v>
      </c>
      <c r="J44" s="154">
        <f t="shared" si="17"/>
        <v>22377917.35275056</v>
      </c>
      <c r="K44" s="154">
        <f t="shared" si="17"/>
        <v>22937365.28656932</v>
      </c>
      <c r="L44" s="154">
        <f t="shared" si="17"/>
        <v>23510799.418733552</v>
      </c>
    </row>
    <row r="45" spans="1:12" ht="12" hidden="1">
      <c r="A45" s="67" t="s">
        <v>507</v>
      </c>
      <c r="B45" s="68" t="s">
        <v>204</v>
      </c>
      <c r="C45" s="154">
        <v>3216120</v>
      </c>
      <c r="D45" s="154">
        <v>3216120</v>
      </c>
      <c r="E45" s="154">
        <f t="shared" si="16"/>
        <v>3296522.9999999995</v>
      </c>
      <c r="F45" s="154">
        <f t="shared" si="16"/>
        <v>3378936.0749999993</v>
      </c>
      <c r="G45" s="154">
        <f t="shared" si="16"/>
        <v>3463409.476874999</v>
      </c>
      <c r="H45" s="154">
        <f t="shared" si="16"/>
        <v>3549994.7137968736</v>
      </c>
      <c r="I45" s="154">
        <f t="shared" si="17"/>
        <v>3638744.581641795</v>
      </c>
      <c r="J45" s="154">
        <f t="shared" si="17"/>
        <v>3729713.1961828396</v>
      </c>
      <c r="K45" s="154">
        <f t="shared" si="17"/>
        <v>3822956.0260874103</v>
      </c>
      <c r="L45" s="154">
        <f t="shared" si="17"/>
        <v>3918529.9267395954</v>
      </c>
    </row>
    <row r="46" spans="1:12" ht="12" hidden="1">
      <c r="A46" s="67" t="s">
        <v>508</v>
      </c>
      <c r="B46" s="68" t="s">
        <v>205</v>
      </c>
      <c r="C46" s="154">
        <f>25728636*0.975</f>
        <v>25085420.099999998</v>
      </c>
      <c r="D46" s="154">
        <f>+C46*1.04</f>
        <v>26088836.904</v>
      </c>
      <c r="E46" s="154">
        <f t="shared" si="16"/>
        <v>26741057.826599997</v>
      </c>
      <c r="F46" s="154">
        <f t="shared" si="16"/>
        <v>27409584.272264995</v>
      </c>
      <c r="G46" s="154">
        <f t="shared" si="16"/>
        <v>28094823.879071616</v>
      </c>
      <c r="H46" s="154">
        <f t="shared" si="16"/>
        <v>28797194.476048402</v>
      </c>
      <c r="I46" s="154">
        <f t="shared" si="17"/>
        <v>29517124.33794961</v>
      </c>
      <c r="J46" s="154">
        <f t="shared" si="17"/>
        <v>30255052.446398348</v>
      </c>
      <c r="K46" s="154">
        <f t="shared" si="17"/>
        <v>31011428.757558305</v>
      </c>
      <c r="L46" s="154">
        <f t="shared" si="17"/>
        <v>31786714.47649726</v>
      </c>
    </row>
    <row r="47" spans="1:12" ht="12" hidden="1">
      <c r="A47" s="67" t="s">
        <v>509</v>
      </c>
      <c r="B47" s="68" t="s">
        <v>206</v>
      </c>
      <c r="C47" s="154">
        <v>6432096</v>
      </c>
      <c r="D47" s="154">
        <v>6432096</v>
      </c>
      <c r="E47" s="154">
        <f t="shared" si="16"/>
        <v>6592898.399999999</v>
      </c>
      <c r="F47" s="154">
        <f t="shared" si="16"/>
        <v>6757720.8599999985</v>
      </c>
      <c r="G47" s="154">
        <f t="shared" si="16"/>
        <v>6926663.881499998</v>
      </c>
      <c r="H47" s="154">
        <f t="shared" si="16"/>
        <v>7099830.478537498</v>
      </c>
      <c r="I47" s="154">
        <f t="shared" si="17"/>
        <v>7277326.240500934</v>
      </c>
      <c r="J47" s="154">
        <f t="shared" si="17"/>
        <v>7459259.396513457</v>
      </c>
      <c r="K47" s="154">
        <f t="shared" si="17"/>
        <v>7645740.881426293</v>
      </c>
      <c r="L47" s="154">
        <f t="shared" si="17"/>
        <v>7836884.40346195</v>
      </c>
    </row>
    <row r="48" spans="1:13" s="66" customFormat="1" ht="12">
      <c r="A48" s="64" t="s">
        <v>510</v>
      </c>
      <c r="B48" s="58" t="s">
        <v>113</v>
      </c>
      <c r="C48" s="159">
        <f aca="true" t="shared" si="18" ref="C48:K48">+C49+C52+C67</f>
        <v>201415201</v>
      </c>
      <c r="D48" s="159">
        <f t="shared" si="18"/>
        <v>205135201</v>
      </c>
      <c r="E48" s="159">
        <f t="shared" si="18"/>
        <v>210263581.02499998</v>
      </c>
      <c r="F48" s="159">
        <f t="shared" si="18"/>
        <v>215520170.55062497</v>
      </c>
      <c r="G48" s="159">
        <f t="shared" si="18"/>
        <v>220908174.81439054</v>
      </c>
      <c r="H48" s="159">
        <f t="shared" si="18"/>
        <v>226430879.1847503</v>
      </c>
      <c r="I48" s="159">
        <f t="shared" si="18"/>
        <v>232091651.16436905</v>
      </c>
      <c r="J48" s="159">
        <f t="shared" si="18"/>
        <v>237893942.44347823</v>
      </c>
      <c r="K48" s="159">
        <f t="shared" si="18"/>
        <v>243841291.00456518</v>
      </c>
      <c r="L48" s="159">
        <f>+L49+L52+L67</f>
        <v>249937323.27967927</v>
      </c>
      <c r="M48" s="65"/>
    </row>
    <row r="49" spans="1:12" ht="12" hidden="1">
      <c r="A49" s="67" t="s">
        <v>511</v>
      </c>
      <c r="B49" s="68" t="s">
        <v>207</v>
      </c>
      <c r="C49" s="154">
        <f>+C50+C51</f>
        <v>59700000</v>
      </c>
      <c r="D49" s="154">
        <f>+D50+D51</f>
        <v>61820000</v>
      </c>
      <c r="E49" s="154">
        <f aca="true" t="shared" si="19" ref="E49:L49">+D49*1.025</f>
        <v>63365499.99999999</v>
      </c>
      <c r="F49" s="154">
        <f t="shared" si="19"/>
        <v>64949637.499999985</v>
      </c>
      <c r="G49" s="154">
        <f t="shared" si="19"/>
        <v>66573378.43749998</v>
      </c>
      <c r="H49" s="154">
        <f t="shared" si="19"/>
        <v>68237712.89843747</v>
      </c>
      <c r="I49" s="154">
        <f t="shared" si="19"/>
        <v>69943655.7208984</v>
      </c>
      <c r="J49" s="154">
        <f t="shared" si="19"/>
        <v>71692247.11392085</v>
      </c>
      <c r="K49" s="154">
        <f t="shared" si="19"/>
        <v>73484553.29176886</v>
      </c>
      <c r="L49" s="154">
        <f t="shared" si="19"/>
        <v>75321667.12406307</v>
      </c>
    </row>
    <row r="50" spans="1:12" ht="12" hidden="1">
      <c r="A50" s="67" t="s">
        <v>512</v>
      </c>
      <c r="B50" s="68" t="s">
        <v>208</v>
      </c>
      <c r="C50" s="154">
        <v>6700000</v>
      </c>
      <c r="D50" s="154">
        <v>6700000</v>
      </c>
      <c r="E50" s="154">
        <f aca="true" t="shared" si="20" ref="E50:H74">+D50*1.025</f>
        <v>6867499.999999999</v>
      </c>
      <c r="F50" s="154">
        <f t="shared" si="20"/>
        <v>7039187.499999998</v>
      </c>
      <c r="G50" s="154">
        <f t="shared" si="20"/>
        <v>7215167.187499997</v>
      </c>
      <c r="H50" s="154">
        <f t="shared" si="20"/>
        <v>7395546.367187496</v>
      </c>
      <c r="I50" s="154">
        <f aca="true" t="shared" si="21" ref="I50:L74">+H50*1.025</f>
        <v>7580435.026367183</v>
      </c>
      <c r="J50" s="154">
        <f t="shared" si="21"/>
        <v>7769945.902026362</v>
      </c>
      <c r="K50" s="154">
        <f t="shared" si="21"/>
        <v>7964194.54957702</v>
      </c>
      <c r="L50" s="154">
        <f t="shared" si="21"/>
        <v>8163299.4133164445</v>
      </c>
    </row>
    <row r="51" spans="1:12" ht="12" hidden="1">
      <c r="A51" s="67" t="s">
        <v>513</v>
      </c>
      <c r="B51" s="68" t="s">
        <v>209</v>
      </c>
      <c r="C51" s="154">
        <f>20000000+33000000</f>
        <v>53000000</v>
      </c>
      <c r="D51" s="154">
        <f>+C51*1.04</f>
        <v>55120000</v>
      </c>
      <c r="E51" s="154">
        <f t="shared" si="20"/>
        <v>56497999.99999999</v>
      </c>
      <c r="F51" s="154">
        <f t="shared" si="20"/>
        <v>57910449.999999985</v>
      </c>
      <c r="G51" s="154">
        <f t="shared" si="20"/>
        <v>59358211.24999998</v>
      </c>
      <c r="H51" s="154">
        <f t="shared" si="20"/>
        <v>60842166.53124997</v>
      </c>
      <c r="I51" s="154">
        <f t="shared" si="21"/>
        <v>62363220.69453122</v>
      </c>
      <c r="J51" s="154">
        <f t="shared" si="21"/>
        <v>63922301.21189449</v>
      </c>
      <c r="K51" s="154">
        <f t="shared" si="21"/>
        <v>65520358.74219184</v>
      </c>
      <c r="L51" s="154">
        <f t="shared" si="21"/>
        <v>67158367.71074663</v>
      </c>
    </row>
    <row r="52" spans="1:12" ht="12" hidden="1">
      <c r="A52" s="67" t="s">
        <v>514</v>
      </c>
      <c r="B52" s="68" t="s">
        <v>210</v>
      </c>
      <c r="C52" s="154">
        <f>+C53+C54+C55+C56+C57+C58+C59+C60</f>
        <v>131715201</v>
      </c>
      <c r="D52" s="154">
        <f>+D53+D54+D55+D56+D57+D58+D59+D60</f>
        <v>133315201</v>
      </c>
      <c r="E52" s="154">
        <f t="shared" si="20"/>
        <v>136648081.02499998</v>
      </c>
      <c r="F52" s="154">
        <f t="shared" si="20"/>
        <v>140064283.05062497</v>
      </c>
      <c r="G52" s="154">
        <f t="shared" si="20"/>
        <v>143565890.12689057</v>
      </c>
      <c r="H52" s="154">
        <f t="shared" si="20"/>
        <v>147155037.38006282</v>
      </c>
      <c r="I52" s="154">
        <f t="shared" si="21"/>
        <v>150833913.31456438</v>
      </c>
      <c r="J52" s="154">
        <f t="shared" si="21"/>
        <v>154604761.14742848</v>
      </c>
      <c r="K52" s="154">
        <f t="shared" si="21"/>
        <v>158469880.17611417</v>
      </c>
      <c r="L52" s="154">
        <f t="shared" si="21"/>
        <v>162431627.18051702</v>
      </c>
    </row>
    <row r="53" spans="1:12" ht="12" hidden="1">
      <c r="A53" s="67" t="s">
        <v>515</v>
      </c>
      <c r="B53" s="68" t="s">
        <v>211</v>
      </c>
      <c r="C53" s="154">
        <v>1000000</v>
      </c>
      <c r="D53" s="154">
        <v>1000000</v>
      </c>
      <c r="E53" s="154">
        <f t="shared" si="20"/>
        <v>1024999.9999999999</v>
      </c>
      <c r="F53" s="154">
        <f t="shared" si="20"/>
        <v>1050624.9999999998</v>
      </c>
      <c r="G53" s="154">
        <f t="shared" si="20"/>
        <v>1076890.6249999998</v>
      </c>
      <c r="H53" s="154">
        <f t="shared" si="20"/>
        <v>1103812.8906249998</v>
      </c>
      <c r="I53" s="154">
        <f t="shared" si="21"/>
        <v>1131408.2128906248</v>
      </c>
      <c r="J53" s="154">
        <f t="shared" si="21"/>
        <v>1159693.4182128904</v>
      </c>
      <c r="K53" s="154">
        <f t="shared" si="21"/>
        <v>1188685.7536682126</v>
      </c>
      <c r="L53" s="154">
        <f t="shared" si="21"/>
        <v>1218402.8975099178</v>
      </c>
    </row>
    <row r="54" spans="1:12" ht="12" hidden="1">
      <c r="A54" s="67" t="s">
        <v>516</v>
      </c>
      <c r="B54" s="68" t="s">
        <v>212</v>
      </c>
      <c r="C54" s="154">
        <v>1000000</v>
      </c>
      <c r="D54" s="154">
        <v>1000000</v>
      </c>
      <c r="E54" s="154">
        <f t="shared" si="20"/>
        <v>1024999.9999999999</v>
      </c>
      <c r="F54" s="154">
        <f t="shared" si="20"/>
        <v>1050624.9999999998</v>
      </c>
      <c r="G54" s="154">
        <f t="shared" si="20"/>
        <v>1076890.6249999998</v>
      </c>
      <c r="H54" s="154">
        <f t="shared" si="20"/>
        <v>1103812.8906249998</v>
      </c>
      <c r="I54" s="154">
        <f t="shared" si="21"/>
        <v>1131408.2128906248</v>
      </c>
      <c r="J54" s="154">
        <f t="shared" si="21"/>
        <v>1159693.4182128904</v>
      </c>
      <c r="K54" s="154">
        <f t="shared" si="21"/>
        <v>1188685.7536682126</v>
      </c>
      <c r="L54" s="154">
        <f t="shared" si="21"/>
        <v>1218402.8975099178</v>
      </c>
    </row>
    <row r="55" spans="1:12" ht="12" hidden="1">
      <c r="A55" s="67" t="s">
        <v>517</v>
      </c>
      <c r="B55" s="68" t="s">
        <v>213</v>
      </c>
      <c r="C55" s="154">
        <v>18000000</v>
      </c>
      <c r="D55" s="154">
        <v>18000000</v>
      </c>
      <c r="E55" s="154">
        <f t="shared" si="20"/>
        <v>18450000</v>
      </c>
      <c r="F55" s="154">
        <f t="shared" si="20"/>
        <v>18911250</v>
      </c>
      <c r="G55" s="154">
        <f t="shared" si="20"/>
        <v>19384031.25</v>
      </c>
      <c r="H55" s="154">
        <f t="shared" si="20"/>
        <v>19868632.03125</v>
      </c>
      <c r="I55" s="154">
        <f t="shared" si="21"/>
        <v>20365347.83203125</v>
      </c>
      <c r="J55" s="154">
        <f t="shared" si="21"/>
        <v>20874481.52783203</v>
      </c>
      <c r="K55" s="154">
        <f t="shared" si="21"/>
        <v>21396343.56602783</v>
      </c>
      <c r="L55" s="154">
        <f t="shared" si="21"/>
        <v>21931252.155178525</v>
      </c>
    </row>
    <row r="56" spans="1:12" ht="12" hidden="1">
      <c r="A56" s="67" t="s">
        <v>518</v>
      </c>
      <c r="B56" s="68" t="s">
        <v>114</v>
      </c>
      <c r="C56" s="154">
        <v>7000000</v>
      </c>
      <c r="D56" s="154">
        <v>7000000</v>
      </c>
      <c r="E56" s="154">
        <f t="shared" si="20"/>
        <v>7174999.999999999</v>
      </c>
      <c r="F56" s="154">
        <f t="shared" si="20"/>
        <v>7354374.999999998</v>
      </c>
      <c r="G56" s="154">
        <f t="shared" si="20"/>
        <v>7538234.374999997</v>
      </c>
      <c r="H56" s="154">
        <f t="shared" si="20"/>
        <v>7726690.234374996</v>
      </c>
      <c r="I56" s="154">
        <f t="shared" si="21"/>
        <v>7919857.49023437</v>
      </c>
      <c r="J56" s="154">
        <f t="shared" si="21"/>
        <v>8117853.927490229</v>
      </c>
      <c r="K56" s="154">
        <f t="shared" si="21"/>
        <v>8320800.2756774835</v>
      </c>
      <c r="L56" s="154">
        <f t="shared" si="21"/>
        <v>8528820.28256942</v>
      </c>
    </row>
    <row r="57" spans="1:12" ht="12" hidden="1">
      <c r="A57" s="67" t="s">
        <v>519</v>
      </c>
      <c r="B57" s="68" t="s">
        <v>214</v>
      </c>
      <c r="C57" s="154">
        <v>20000000</v>
      </c>
      <c r="D57" s="154">
        <f>20000000*1.04</f>
        <v>20800000</v>
      </c>
      <c r="E57" s="154">
        <f t="shared" si="20"/>
        <v>21320000</v>
      </c>
      <c r="F57" s="154">
        <f t="shared" si="20"/>
        <v>21852999.999999996</v>
      </c>
      <c r="G57" s="154">
        <f t="shared" si="20"/>
        <v>22399324.999999993</v>
      </c>
      <c r="H57" s="154">
        <f t="shared" si="20"/>
        <v>22959308.12499999</v>
      </c>
      <c r="I57" s="154">
        <f t="shared" si="21"/>
        <v>23533290.828124985</v>
      </c>
      <c r="J57" s="154">
        <f t="shared" si="21"/>
        <v>24121623.098828107</v>
      </c>
      <c r="K57" s="154">
        <f t="shared" si="21"/>
        <v>24724663.67629881</v>
      </c>
      <c r="L57" s="154">
        <f t="shared" si="21"/>
        <v>25342780.268206276</v>
      </c>
    </row>
    <row r="58" spans="1:12" ht="12" hidden="1">
      <c r="A58" s="67" t="s">
        <v>520</v>
      </c>
      <c r="B58" s="68" t="s">
        <v>215</v>
      </c>
      <c r="C58" s="154">
        <v>20000000</v>
      </c>
      <c r="D58" s="154">
        <f>20000000*1.04</f>
        <v>20800000</v>
      </c>
      <c r="E58" s="154">
        <f t="shared" si="20"/>
        <v>21320000</v>
      </c>
      <c r="F58" s="154">
        <f t="shared" si="20"/>
        <v>21852999.999999996</v>
      </c>
      <c r="G58" s="154">
        <f t="shared" si="20"/>
        <v>22399324.999999993</v>
      </c>
      <c r="H58" s="154">
        <f t="shared" si="20"/>
        <v>22959308.12499999</v>
      </c>
      <c r="I58" s="154">
        <f t="shared" si="21"/>
        <v>23533290.828124985</v>
      </c>
      <c r="J58" s="154">
        <f t="shared" si="21"/>
        <v>24121623.098828107</v>
      </c>
      <c r="K58" s="154">
        <f t="shared" si="21"/>
        <v>24724663.67629881</v>
      </c>
      <c r="L58" s="154">
        <f t="shared" si="21"/>
        <v>25342780.268206276</v>
      </c>
    </row>
    <row r="59" spans="1:12" ht="12" hidden="1">
      <c r="A59" s="67" t="s">
        <v>521</v>
      </c>
      <c r="B59" s="68" t="s">
        <v>216</v>
      </c>
      <c r="C59" s="154">
        <v>1000</v>
      </c>
      <c r="D59" s="154">
        <v>1000</v>
      </c>
      <c r="E59" s="154">
        <f t="shared" si="20"/>
        <v>1025</v>
      </c>
      <c r="F59" s="154">
        <f t="shared" si="20"/>
        <v>1050.625</v>
      </c>
      <c r="G59" s="154">
        <f t="shared" si="20"/>
        <v>1076.890625</v>
      </c>
      <c r="H59" s="154">
        <f t="shared" si="20"/>
        <v>1103.812890625</v>
      </c>
      <c r="I59" s="154">
        <f t="shared" si="21"/>
        <v>1131.4082128906248</v>
      </c>
      <c r="J59" s="154">
        <f t="shared" si="21"/>
        <v>1159.6934182128903</v>
      </c>
      <c r="K59" s="154">
        <f t="shared" si="21"/>
        <v>1188.6857536682123</v>
      </c>
      <c r="L59" s="154">
        <f t="shared" si="21"/>
        <v>1218.4028975099175</v>
      </c>
    </row>
    <row r="60" spans="1:12" ht="12" hidden="1">
      <c r="A60" s="67" t="s">
        <v>522</v>
      </c>
      <c r="B60" s="68" t="s">
        <v>217</v>
      </c>
      <c r="C60" s="154">
        <f>SUM(C61:C66)</f>
        <v>64714201</v>
      </c>
      <c r="D60" s="154">
        <f>SUM(D61:D66)</f>
        <v>64714201</v>
      </c>
      <c r="E60" s="154">
        <f t="shared" si="20"/>
        <v>66332056.02499999</v>
      </c>
      <c r="F60" s="154">
        <f t="shared" si="20"/>
        <v>67990357.42562498</v>
      </c>
      <c r="G60" s="154">
        <f t="shared" si="20"/>
        <v>69690116.3612656</v>
      </c>
      <c r="H60" s="154">
        <f t="shared" si="20"/>
        <v>71432369.27029723</v>
      </c>
      <c r="I60" s="154">
        <f t="shared" si="21"/>
        <v>73218178.50205465</v>
      </c>
      <c r="J60" s="154">
        <f t="shared" si="21"/>
        <v>75048632.964606</v>
      </c>
      <c r="K60" s="154">
        <f t="shared" si="21"/>
        <v>76924848.78872114</v>
      </c>
      <c r="L60" s="154">
        <f t="shared" si="21"/>
        <v>78847970.00843917</v>
      </c>
    </row>
    <row r="61" spans="1:12" ht="12" hidden="1">
      <c r="A61" s="67" t="s">
        <v>523</v>
      </c>
      <c r="B61" s="68" t="s">
        <v>149</v>
      </c>
      <c r="C61" s="154">
        <v>12000000</v>
      </c>
      <c r="D61" s="154">
        <v>12000000</v>
      </c>
      <c r="E61" s="154">
        <f t="shared" si="20"/>
        <v>12299999.999999998</v>
      </c>
      <c r="F61" s="154">
        <f t="shared" si="20"/>
        <v>12607499.999999996</v>
      </c>
      <c r="G61" s="154">
        <f t="shared" si="20"/>
        <v>12922687.499999994</v>
      </c>
      <c r="H61" s="154">
        <f t="shared" si="20"/>
        <v>13245754.687499993</v>
      </c>
      <c r="I61" s="154">
        <f t="shared" si="21"/>
        <v>13576898.55468749</v>
      </c>
      <c r="J61" s="154">
        <f t="shared" si="21"/>
        <v>13916321.018554676</v>
      </c>
      <c r="K61" s="154">
        <f t="shared" si="21"/>
        <v>14264229.044018542</v>
      </c>
      <c r="L61" s="154">
        <f t="shared" si="21"/>
        <v>14620834.770119004</v>
      </c>
    </row>
    <row r="62" spans="1:12" ht="12" hidden="1">
      <c r="A62" s="67" t="s">
        <v>524</v>
      </c>
      <c r="B62" s="68" t="s">
        <v>150</v>
      </c>
      <c r="C62" s="154">
        <v>15000000</v>
      </c>
      <c r="D62" s="154">
        <v>15000000</v>
      </c>
      <c r="E62" s="154">
        <f t="shared" si="20"/>
        <v>15374999.999999998</v>
      </c>
      <c r="F62" s="154">
        <f t="shared" si="20"/>
        <v>15759374.999999996</v>
      </c>
      <c r="G62" s="154">
        <f t="shared" si="20"/>
        <v>16153359.374999994</v>
      </c>
      <c r="H62" s="154">
        <f t="shared" si="20"/>
        <v>16557193.359374993</v>
      </c>
      <c r="I62" s="154">
        <f t="shared" si="21"/>
        <v>16971123.193359368</v>
      </c>
      <c r="J62" s="154">
        <f t="shared" si="21"/>
        <v>17395401.273193352</v>
      </c>
      <c r="K62" s="154">
        <f t="shared" si="21"/>
        <v>17830286.305023186</v>
      </c>
      <c r="L62" s="154">
        <f t="shared" si="21"/>
        <v>18276043.462648764</v>
      </c>
    </row>
    <row r="63" spans="1:12" ht="12" hidden="1">
      <c r="A63" s="67" t="s">
        <v>525</v>
      </c>
      <c r="B63" s="68" t="s">
        <v>151</v>
      </c>
      <c r="C63" s="154">
        <v>15714201</v>
      </c>
      <c r="D63" s="154">
        <v>15714201</v>
      </c>
      <c r="E63" s="154">
        <f t="shared" si="20"/>
        <v>16107056.024999999</v>
      </c>
      <c r="F63" s="154">
        <f t="shared" si="20"/>
        <v>16509732.425624996</v>
      </c>
      <c r="G63" s="154">
        <f t="shared" si="20"/>
        <v>16922475.73626562</v>
      </c>
      <c r="H63" s="154">
        <f t="shared" si="20"/>
        <v>17345537.62967226</v>
      </c>
      <c r="I63" s="154">
        <f t="shared" si="21"/>
        <v>17779176.070414063</v>
      </c>
      <c r="J63" s="154">
        <f t="shared" si="21"/>
        <v>18223655.472174414</v>
      </c>
      <c r="K63" s="154">
        <f t="shared" si="21"/>
        <v>18679246.85897877</v>
      </c>
      <c r="L63" s="154">
        <f t="shared" si="21"/>
        <v>19146228.03045324</v>
      </c>
    </row>
    <row r="64" spans="1:12" ht="12" hidden="1">
      <c r="A64" s="67" t="s">
        <v>526</v>
      </c>
      <c r="B64" s="68" t="s">
        <v>152</v>
      </c>
      <c r="C64" s="154">
        <v>4000000</v>
      </c>
      <c r="D64" s="154">
        <v>4000000</v>
      </c>
      <c r="E64" s="154">
        <f t="shared" si="20"/>
        <v>4099999.9999999995</v>
      </c>
      <c r="F64" s="154">
        <f t="shared" si="20"/>
        <v>4202499.999999999</v>
      </c>
      <c r="G64" s="154">
        <f t="shared" si="20"/>
        <v>4307562.499999999</v>
      </c>
      <c r="H64" s="154">
        <f t="shared" si="20"/>
        <v>4415251.562499999</v>
      </c>
      <c r="I64" s="154">
        <f t="shared" si="21"/>
        <v>4525632.851562499</v>
      </c>
      <c r="J64" s="154">
        <f t="shared" si="21"/>
        <v>4638773.672851562</v>
      </c>
      <c r="K64" s="154">
        <f t="shared" si="21"/>
        <v>4754743.01467285</v>
      </c>
      <c r="L64" s="154">
        <f t="shared" si="21"/>
        <v>4873611.590039671</v>
      </c>
    </row>
    <row r="65" spans="1:12" ht="12" hidden="1">
      <c r="A65" s="67" t="s">
        <v>527</v>
      </c>
      <c r="B65" s="68" t="s">
        <v>153</v>
      </c>
      <c r="C65" s="154">
        <v>15000000</v>
      </c>
      <c r="D65" s="154">
        <v>15000000</v>
      </c>
      <c r="E65" s="154">
        <f t="shared" si="20"/>
        <v>15374999.999999998</v>
      </c>
      <c r="F65" s="154">
        <f t="shared" si="20"/>
        <v>15759374.999999996</v>
      </c>
      <c r="G65" s="154">
        <f t="shared" si="20"/>
        <v>16153359.374999994</v>
      </c>
      <c r="H65" s="154">
        <f t="shared" si="20"/>
        <v>16557193.359374993</v>
      </c>
      <c r="I65" s="154">
        <f t="shared" si="21"/>
        <v>16971123.193359368</v>
      </c>
      <c r="J65" s="154">
        <f t="shared" si="21"/>
        <v>17395401.273193352</v>
      </c>
      <c r="K65" s="154">
        <f t="shared" si="21"/>
        <v>17830286.305023186</v>
      </c>
      <c r="L65" s="154">
        <f t="shared" si="21"/>
        <v>18276043.462648764</v>
      </c>
    </row>
    <row r="66" spans="1:12" ht="12" hidden="1">
      <c r="A66" s="67" t="s">
        <v>528</v>
      </c>
      <c r="B66" s="68" t="s">
        <v>154</v>
      </c>
      <c r="C66" s="154">
        <v>3000000</v>
      </c>
      <c r="D66" s="154">
        <v>3000000</v>
      </c>
      <c r="E66" s="154">
        <f t="shared" si="20"/>
        <v>3074999.9999999995</v>
      </c>
      <c r="F66" s="154">
        <f t="shared" si="20"/>
        <v>3151874.999999999</v>
      </c>
      <c r="G66" s="154">
        <f t="shared" si="20"/>
        <v>3230671.8749999986</v>
      </c>
      <c r="H66" s="154">
        <f t="shared" si="20"/>
        <v>3311438.671874998</v>
      </c>
      <c r="I66" s="154">
        <f t="shared" si="21"/>
        <v>3394224.6386718727</v>
      </c>
      <c r="J66" s="154">
        <f t="shared" si="21"/>
        <v>3479080.254638669</v>
      </c>
      <c r="K66" s="154">
        <f t="shared" si="21"/>
        <v>3566057.2610046356</v>
      </c>
      <c r="L66" s="154">
        <f t="shared" si="21"/>
        <v>3655208.692529751</v>
      </c>
    </row>
    <row r="67" spans="1:12" ht="12" hidden="1">
      <c r="A67" s="67" t="s">
        <v>529</v>
      </c>
      <c r="B67" s="68" t="s">
        <v>218</v>
      </c>
      <c r="C67" s="154">
        <f>+C68</f>
        <v>10000000</v>
      </c>
      <c r="D67" s="154">
        <f>+D68</f>
        <v>10000000</v>
      </c>
      <c r="E67" s="154">
        <f t="shared" si="20"/>
        <v>10250000</v>
      </c>
      <c r="F67" s="154">
        <f t="shared" si="20"/>
        <v>10506250</v>
      </c>
      <c r="G67" s="154">
        <f t="shared" si="20"/>
        <v>10768906.249999998</v>
      </c>
      <c r="H67" s="154">
        <f t="shared" si="20"/>
        <v>11038128.906249996</v>
      </c>
      <c r="I67" s="154">
        <f t="shared" si="21"/>
        <v>11314082.128906244</v>
      </c>
      <c r="J67" s="154">
        <f t="shared" si="21"/>
        <v>11596934.182128899</v>
      </c>
      <c r="K67" s="154">
        <f t="shared" si="21"/>
        <v>11886857.53668212</v>
      </c>
      <c r="L67" s="154">
        <f t="shared" si="21"/>
        <v>12184028.975099172</v>
      </c>
    </row>
    <row r="68" spans="1:13" s="66" customFormat="1" ht="12" hidden="1">
      <c r="A68" s="67" t="s">
        <v>530</v>
      </c>
      <c r="B68" s="68" t="s">
        <v>155</v>
      </c>
      <c r="C68" s="154">
        <v>10000000</v>
      </c>
      <c r="D68" s="154">
        <v>10000000</v>
      </c>
      <c r="E68" s="154">
        <f t="shared" si="20"/>
        <v>10250000</v>
      </c>
      <c r="F68" s="154">
        <f t="shared" si="20"/>
        <v>10506250</v>
      </c>
      <c r="G68" s="154">
        <f t="shared" si="20"/>
        <v>10768906.249999998</v>
      </c>
      <c r="H68" s="154">
        <f t="shared" si="20"/>
        <v>11038128.906249996</v>
      </c>
      <c r="I68" s="154">
        <f t="shared" si="21"/>
        <v>11314082.128906244</v>
      </c>
      <c r="J68" s="154">
        <f t="shared" si="21"/>
        <v>11596934.182128899</v>
      </c>
      <c r="K68" s="154">
        <f t="shared" si="21"/>
        <v>11886857.53668212</v>
      </c>
      <c r="L68" s="154">
        <f t="shared" si="21"/>
        <v>12184028.975099172</v>
      </c>
      <c r="M68" s="65"/>
    </row>
    <row r="69" spans="1:12" ht="12" hidden="1">
      <c r="A69" s="67" t="s">
        <v>531</v>
      </c>
      <c r="B69" s="68" t="s">
        <v>219</v>
      </c>
      <c r="C69" s="154">
        <f>+C70+C71+C72+C73+C74</f>
        <v>101637704.2</v>
      </c>
      <c r="D69" s="154">
        <f>+D70+D71+D72+D73+D74</f>
        <v>111483643</v>
      </c>
      <c r="E69" s="154">
        <f t="shared" si="20"/>
        <v>114270734.07499999</v>
      </c>
      <c r="F69" s="154">
        <f t="shared" si="20"/>
        <v>117127502.42687498</v>
      </c>
      <c r="G69" s="154">
        <f t="shared" si="20"/>
        <v>120055689.98754685</v>
      </c>
      <c r="H69" s="154">
        <f t="shared" si="20"/>
        <v>123057082.2372355</v>
      </c>
      <c r="I69" s="154">
        <f t="shared" si="21"/>
        <v>126133509.29316638</v>
      </c>
      <c r="J69" s="154">
        <f t="shared" si="21"/>
        <v>129286847.02549553</v>
      </c>
      <c r="K69" s="154">
        <f t="shared" si="21"/>
        <v>132519018.20113291</v>
      </c>
      <c r="L69" s="154">
        <f t="shared" si="21"/>
        <v>135831993.65616122</v>
      </c>
    </row>
    <row r="70" spans="1:12" ht="12" hidden="1">
      <c r="A70" s="67" t="s">
        <v>532</v>
      </c>
      <c r="B70" s="68" t="s">
        <v>220</v>
      </c>
      <c r="C70" s="154">
        <f>31343312*0.975</f>
        <v>30559729.2</v>
      </c>
      <c r="D70" s="154">
        <v>31343312</v>
      </c>
      <c r="E70" s="154">
        <f t="shared" si="20"/>
        <v>32126894.799999997</v>
      </c>
      <c r="F70" s="154">
        <f t="shared" si="20"/>
        <v>32930067.169999994</v>
      </c>
      <c r="G70" s="154">
        <f t="shared" si="20"/>
        <v>33753318.84924999</v>
      </c>
      <c r="H70" s="154">
        <f t="shared" si="20"/>
        <v>34597151.82048123</v>
      </c>
      <c r="I70" s="154">
        <f t="shared" si="21"/>
        <v>35462080.61599326</v>
      </c>
      <c r="J70" s="154">
        <f t="shared" si="21"/>
        <v>36348632.63139309</v>
      </c>
      <c r="K70" s="154">
        <f t="shared" si="21"/>
        <v>37257348.44717792</v>
      </c>
      <c r="L70" s="154">
        <f t="shared" si="21"/>
        <v>38188782.15835736</v>
      </c>
    </row>
    <row r="71" spans="1:12" ht="24" hidden="1">
      <c r="A71" s="67" t="s">
        <v>533</v>
      </c>
      <c r="B71" s="68" t="s">
        <v>221</v>
      </c>
      <c r="C71" s="154">
        <f>44241000*0.975</f>
        <v>43134975</v>
      </c>
      <c r="D71" s="154">
        <v>44241000</v>
      </c>
      <c r="E71" s="154">
        <f t="shared" si="20"/>
        <v>45347024.99999999</v>
      </c>
      <c r="F71" s="154">
        <f t="shared" si="20"/>
        <v>46480700.624999985</v>
      </c>
      <c r="G71" s="154">
        <f t="shared" si="20"/>
        <v>47642718.14062498</v>
      </c>
      <c r="H71" s="154">
        <f t="shared" si="20"/>
        <v>48833786.0941406</v>
      </c>
      <c r="I71" s="154">
        <f t="shared" si="21"/>
        <v>50054630.74649411</v>
      </c>
      <c r="J71" s="154">
        <f t="shared" si="21"/>
        <v>51305996.515156455</v>
      </c>
      <c r="K71" s="154">
        <f t="shared" si="21"/>
        <v>52588646.42803536</v>
      </c>
      <c r="L71" s="154">
        <f t="shared" si="21"/>
        <v>53903362.58873624</v>
      </c>
    </row>
    <row r="72" spans="1:12" ht="24" hidden="1">
      <c r="A72" s="67" t="s">
        <v>534</v>
      </c>
      <c r="B72" s="68" t="s">
        <v>222</v>
      </c>
      <c r="C72" s="153">
        <v>6500000</v>
      </c>
      <c r="D72" s="153">
        <v>6500000</v>
      </c>
      <c r="E72" s="154">
        <f t="shared" si="20"/>
        <v>6662499.999999999</v>
      </c>
      <c r="F72" s="154">
        <f t="shared" si="20"/>
        <v>6829062.499999998</v>
      </c>
      <c r="G72" s="154">
        <f t="shared" si="20"/>
        <v>6999789.062499997</v>
      </c>
      <c r="H72" s="154">
        <f t="shared" si="20"/>
        <v>7174783.789062496</v>
      </c>
      <c r="I72" s="154">
        <f t="shared" si="21"/>
        <v>7354153.383789058</v>
      </c>
      <c r="J72" s="154">
        <f t="shared" si="21"/>
        <v>7538007.2183837835</v>
      </c>
      <c r="K72" s="154">
        <f t="shared" si="21"/>
        <v>7726457.398843378</v>
      </c>
      <c r="L72" s="154">
        <f t="shared" si="21"/>
        <v>7919618.833814462</v>
      </c>
    </row>
    <row r="73" spans="1:12" ht="12" hidden="1">
      <c r="A73" s="67" t="s">
        <v>535</v>
      </c>
      <c r="B73" s="68" t="s">
        <v>323</v>
      </c>
      <c r="C73" s="154">
        <v>11443000</v>
      </c>
      <c r="D73" s="154">
        <v>11443000</v>
      </c>
      <c r="E73" s="154">
        <f t="shared" si="20"/>
        <v>11729074.999999998</v>
      </c>
      <c r="F73" s="154">
        <f t="shared" si="20"/>
        <v>12022301.874999996</v>
      </c>
      <c r="G73" s="154">
        <f t="shared" si="20"/>
        <v>12322859.421874994</v>
      </c>
      <c r="H73" s="154">
        <f t="shared" si="20"/>
        <v>12630930.907421868</v>
      </c>
      <c r="I73" s="154">
        <f t="shared" si="21"/>
        <v>12946704.180107415</v>
      </c>
      <c r="J73" s="154">
        <f t="shared" si="21"/>
        <v>13270371.784610098</v>
      </c>
      <c r="K73" s="154">
        <f t="shared" si="21"/>
        <v>13602131.07922535</v>
      </c>
      <c r="L73" s="154">
        <f t="shared" si="21"/>
        <v>13942184.356205983</v>
      </c>
    </row>
    <row r="74" spans="1:12" ht="12" hidden="1">
      <c r="A74" s="67" t="s">
        <v>536</v>
      </c>
      <c r="B74" s="68" t="s">
        <v>223</v>
      </c>
      <c r="C74" s="154">
        <v>10000000</v>
      </c>
      <c r="D74" s="154">
        <f>10000000+8000000-44000+331</f>
        <v>17956331</v>
      </c>
      <c r="E74" s="154">
        <f t="shared" si="20"/>
        <v>18405239.275</v>
      </c>
      <c r="F74" s="154">
        <f t="shared" si="20"/>
        <v>18865370.256874997</v>
      </c>
      <c r="G74" s="154">
        <f t="shared" si="20"/>
        <v>19337004.51329687</v>
      </c>
      <c r="H74" s="154">
        <f t="shared" si="20"/>
        <v>19820429.62612929</v>
      </c>
      <c r="I74" s="154">
        <f t="shared" si="21"/>
        <v>20315940.36678252</v>
      </c>
      <c r="J74" s="154">
        <f t="shared" si="21"/>
        <v>20823838.87595208</v>
      </c>
      <c r="K74" s="154">
        <f t="shared" si="21"/>
        <v>21344434.84785088</v>
      </c>
      <c r="L74" s="154">
        <f t="shared" si="21"/>
        <v>21878045.71904715</v>
      </c>
    </row>
    <row r="75" spans="1:12" ht="12">
      <c r="A75" s="61"/>
      <c r="C75" s="160"/>
      <c r="D75" s="160"/>
      <c r="E75" s="160"/>
      <c r="F75" s="160"/>
      <c r="G75" s="160"/>
      <c r="H75" s="160"/>
      <c r="I75" s="160"/>
      <c r="J75" s="160"/>
      <c r="K75" s="160"/>
      <c r="L75" s="160"/>
    </row>
    <row r="76" spans="1:12" ht="12">
      <c r="A76" s="69"/>
      <c r="B76" s="58" t="s">
        <v>617</v>
      </c>
      <c r="C76" s="159">
        <f aca="true" t="shared" si="22" ref="C76:K76">+C77+C167+C177+C204+C238</f>
        <v>20146521000</v>
      </c>
      <c r="D76" s="159">
        <f t="shared" si="22"/>
        <v>20202787920</v>
      </c>
      <c r="E76" s="159">
        <f t="shared" si="22"/>
        <v>20712982618</v>
      </c>
      <c r="F76" s="159">
        <f t="shared" si="22"/>
        <v>21235932183.449997</v>
      </c>
      <c r="G76" s="159">
        <f t="shared" si="22"/>
        <v>21771955488.036243</v>
      </c>
      <c r="H76" s="159">
        <f t="shared" si="22"/>
        <v>22526379375.23715</v>
      </c>
      <c r="I76" s="159">
        <f t="shared" si="22"/>
        <v>23089538859.618073</v>
      </c>
      <c r="J76" s="159">
        <f t="shared" si="22"/>
        <v>23666777331.10853</v>
      </c>
      <c r="K76" s="159">
        <f t="shared" si="22"/>
        <v>24258446764.386234</v>
      </c>
      <c r="L76" s="159">
        <f>+L77+L167+L177+L204+L238</f>
        <v>24864907933.49589</v>
      </c>
    </row>
    <row r="77" spans="1:12" ht="12">
      <c r="A77" s="69" t="s">
        <v>44</v>
      </c>
      <c r="B77" s="58" t="s">
        <v>193</v>
      </c>
      <c r="C77" s="159">
        <f aca="true" t="shared" si="23" ref="C77:K77">+C78+C88+C92+C110+C116+C122+C159+C163</f>
        <v>10173750000</v>
      </c>
      <c r="D77" s="159">
        <f t="shared" si="23"/>
        <v>10580700000</v>
      </c>
      <c r="E77" s="159">
        <f t="shared" si="23"/>
        <v>10845217499.999998</v>
      </c>
      <c r="F77" s="159">
        <f t="shared" si="23"/>
        <v>11116347937.499998</v>
      </c>
      <c r="G77" s="159">
        <f t="shared" si="23"/>
        <v>11394256635.937496</v>
      </c>
      <c r="H77" s="159">
        <f t="shared" si="23"/>
        <v>11679113051.835934</v>
      </c>
      <c r="I77" s="159">
        <f t="shared" si="23"/>
        <v>11971090878.131828</v>
      </c>
      <c r="J77" s="159">
        <f t="shared" si="23"/>
        <v>12270368150.085127</v>
      </c>
      <c r="K77" s="159">
        <f t="shared" si="23"/>
        <v>12577127353.837254</v>
      </c>
      <c r="L77" s="159">
        <f>+L78+L88+L92+L110+L116+L122+L159+L163</f>
        <v>12891555537.683182</v>
      </c>
    </row>
    <row r="78" spans="1:13" s="66" customFormat="1" ht="12">
      <c r="A78" s="69" t="s">
        <v>45</v>
      </c>
      <c r="B78" s="58" t="s">
        <v>100</v>
      </c>
      <c r="C78" s="159">
        <f>603000000+560000000</f>
        <v>1163000000</v>
      </c>
      <c r="D78" s="152">
        <f aca="true" t="shared" si="24" ref="D78:D141">+C78*1.04</f>
        <v>1209520000</v>
      </c>
      <c r="E78" s="152">
        <f aca="true" t="shared" si="25" ref="E78:K93">+D78*1.025</f>
        <v>1239758000</v>
      </c>
      <c r="F78" s="152">
        <f t="shared" si="25"/>
        <v>1270751950</v>
      </c>
      <c r="G78" s="152">
        <f t="shared" si="25"/>
        <v>1302520748.75</v>
      </c>
      <c r="H78" s="152">
        <f t="shared" si="25"/>
        <v>1335083767.46875</v>
      </c>
      <c r="I78" s="152">
        <f t="shared" si="25"/>
        <v>1368460861.6554687</v>
      </c>
      <c r="J78" s="152">
        <f t="shared" si="25"/>
        <v>1402672383.1968553</v>
      </c>
      <c r="K78" s="152">
        <f t="shared" si="25"/>
        <v>1437739192.7767766</v>
      </c>
      <c r="L78" s="152">
        <f>+K78*1.025</f>
        <v>1473682672.596196</v>
      </c>
      <c r="M78" s="70"/>
    </row>
    <row r="79" spans="1:12" ht="12">
      <c r="A79" s="57" t="s">
        <v>46</v>
      </c>
      <c r="B79" s="68" t="s">
        <v>400</v>
      </c>
      <c r="C79" s="154">
        <f>+C80+C81+C82+C83+C84+C85+C86</f>
        <v>1170252252</v>
      </c>
      <c r="D79" s="152">
        <f t="shared" si="24"/>
        <v>1217062342.08</v>
      </c>
      <c r="E79" s="152">
        <f t="shared" si="25"/>
        <v>1247488900.6319997</v>
      </c>
      <c r="F79" s="154">
        <f aca="true" t="shared" si="26" ref="F79:K79">+F80+F81+F82+F83+F84+F85+F86</f>
        <v>1278676123.1477997</v>
      </c>
      <c r="G79" s="154">
        <f t="shared" si="26"/>
        <v>1310643026.2264948</v>
      </c>
      <c r="H79" s="154">
        <f t="shared" si="26"/>
        <v>1343409101.8821568</v>
      </c>
      <c r="I79" s="154">
        <f t="shared" si="26"/>
        <v>1376994329.4292107</v>
      </c>
      <c r="J79" s="154">
        <f t="shared" si="26"/>
        <v>1411419187.6649408</v>
      </c>
      <c r="K79" s="154">
        <f t="shared" si="26"/>
        <v>1446704667.356564</v>
      </c>
      <c r="L79" s="154">
        <f>+L80+L81+L82+L83+L84+L85+L86</f>
        <v>1482872284.0404782</v>
      </c>
    </row>
    <row r="80" spans="1:13" ht="24">
      <c r="A80" s="67" t="s">
        <v>47</v>
      </c>
      <c r="B80" s="68" t="s">
        <v>401</v>
      </c>
      <c r="C80" s="154">
        <v>95151890</v>
      </c>
      <c r="D80" s="152">
        <f t="shared" si="24"/>
        <v>98957965.60000001</v>
      </c>
      <c r="E80" s="152">
        <f t="shared" si="25"/>
        <v>101431914.74</v>
      </c>
      <c r="F80" s="152">
        <f t="shared" si="25"/>
        <v>103967712.60849999</v>
      </c>
      <c r="G80" s="152">
        <f aca="true" t="shared" si="27" ref="G80:L80">+F80*1.025</f>
        <v>106566905.42371248</v>
      </c>
      <c r="H80" s="152">
        <f t="shared" si="27"/>
        <v>109231078.05930528</v>
      </c>
      <c r="I80" s="152">
        <f t="shared" si="27"/>
        <v>111961855.0107879</v>
      </c>
      <c r="J80" s="152">
        <f t="shared" si="27"/>
        <v>114760901.38605759</v>
      </c>
      <c r="K80" s="152">
        <f t="shared" si="27"/>
        <v>117629923.92070901</v>
      </c>
      <c r="L80" s="152">
        <f t="shared" si="27"/>
        <v>120570672.01872672</v>
      </c>
      <c r="M80" s="65"/>
    </row>
    <row r="81" spans="1:13" ht="12">
      <c r="A81" s="67" t="s">
        <v>48</v>
      </c>
      <c r="B81" s="68" t="s">
        <v>402</v>
      </c>
      <c r="C81" s="154">
        <v>412670362</v>
      </c>
      <c r="D81" s="152">
        <f t="shared" si="24"/>
        <v>429177176.48</v>
      </c>
      <c r="E81" s="152">
        <f t="shared" si="25"/>
        <v>439906605.89199996</v>
      </c>
      <c r="F81" s="152">
        <f aca="true" t="shared" si="28" ref="F81:K81">+E81*1.025</f>
        <v>450904271.0392999</v>
      </c>
      <c r="G81" s="152">
        <f t="shared" si="28"/>
        <v>462176877.81528234</v>
      </c>
      <c r="H81" s="152">
        <f t="shared" si="28"/>
        <v>473731299.76066434</v>
      </c>
      <c r="I81" s="152">
        <f t="shared" si="28"/>
        <v>485574582.25468093</v>
      </c>
      <c r="J81" s="152">
        <f t="shared" si="28"/>
        <v>497713946.8110479</v>
      </c>
      <c r="K81" s="152">
        <f t="shared" si="28"/>
        <v>510156795.4813241</v>
      </c>
      <c r="L81" s="152">
        <f aca="true" t="shared" si="29" ref="L81:L86">+K81*1.025</f>
        <v>522910715.3683571</v>
      </c>
      <c r="M81" s="65"/>
    </row>
    <row r="82" spans="1:13" ht="12">
      <c r="A82" s="67" t="s">
        <v>49</v>
      </c>
      <c r="B82" s="68" t="s">
        <v>403</v>
      </c>
      <c r="C82" s="154">
        <v>116000000</v>
      </c>
      <c r="D82" s="152">
        <f t="shared" si="24"/>
        <v>120640000</v>
      </c>
      <c r="E82" s="152">
        <f t="shared" si="25"/>
        <v>123655999.99999999</v>
      </c>
      <c r="F82" s="152">
        <f aca="true" t="shared" si="30" ref="F82:K82">+E82*1.025</f>
        <v>126747399.99999997</v>
      </c>
      <c r="G82" s="152">
        <f t="shared" si="30"/>
        <v>129916084.99999996</v>
      </c>
      <c r="H82" s="152">
        <f t="shared" si="30"/>
        <v>133163987.12499994</v>
      </c>
      <c r="I82" s="152">
        <f t="shared" si="30"/>
        <v>136493086.80312493</v>
      </c>
      <c r="J82" s="152">
        <f t="shared" si="30"/>
        <v>139905413.97320303</v>
      </c>
      <c r="K82" s="152">
        <f t="shared" si="30"/>
        <v>143403049.3225331</v>
      </c>
      <c r="L82" s="152">
        <f t="shared" si="29"/>
        <v>146988125.5555964</v>
      </c>
      <c r="M82" s="65"/>
    </row>
    <row r="83" spans="1:13" ht="24">
      <c r="A83" s="67" t="s">
        <v>50</v>
      </c>
      <c r="B83" s="68" t="s">
        <v>404</v>
      </c>
      <c r="C83" s="154">
        <v>160000000</v>
      </c>
      <c r="D83" s="152">
        <f t="shared" si="24"/>
        <v>166400000</v>
      </c>
      <c r="E83" s="152">
        <f t="shared" si="25"/>
        <v>170560000</v>
      </c>
      <c r="F83" s="152">
        <f t="shared" si="25"/>
        <v>174823999.99999997</v>
      </c>
      <c r="G83" s="152">
        <f t="shared" si="25"/>
        <v>179194599.99999994</v>
      </c>
      <c r="H83" s="152">
        <f t="shared" si="25"/>
        <v>183674464.9999999</v>
      </c>
      <c r="I83" s="152">
        <f t="shared" si="25"/>
        <v>188266326.62499988</v>
      </c>
      <c r="J83" s="152">
        <f t="shared" si="25"/>
        <v>192972984.79062486</v>
      </c>
      <c r="K83" s="152">
        <f t="shared" si="25"/>
        <v>197797309.41039047</v>
      </c>
      <c r="L83" s="152">
        <f t="shared" si="29"/>
        <v>202742242.1456502</v>
      </c>
      <c r="M83" s="65"/>
    </row>
    <row r="84" spans="1:13" ht="24">
      <c r="A84" s="67" t="s">
        <v>51</v>
      </c>
      <c r="B84" s="68" t="s">
        <v>405</v>
      </c>
      <c r="C84" s="154">
        <v>60000000</v>
      </c>
      <c r="D84" s="152">
        <f t="shared" si="24"/>
        <v>62400000</v>
      </c>
      <c r="E84" s="152">
        <f t="shared" si="25"/>
        <v>63959999.99999999</v>
      </c>
      <c r="F84" s="152">
        <f aca="true" t="shared" si="31" ref="F84:K84">+E84*1.025</f>
        <v>65558999.999999985</v>
      </c>
      <c r="G84" s="152">
        <f t="shared" si="31"/>
        <v>67197974.99999999</v>
      </c>
      <c r="H84" s="152">
        <f t="shared" si="31"/>
        <v>68877924.37499999</v>
      </c>
      <c r="I84" s="152">
        <f t="shared" si="31"/>
        <v>70599872.48437499</v>
      </c>
      <c r="J84" s="152">
        <f t="shared" si="31"/>
        <v>72364869.29648435</v>
      </c>
      <c r="K84" s="152">
        <f t="shared" si="31"/>
        <v>74173991.02889645</v>
      </c>
      <c r="L84" s="152">
        <f t="shared" si="29"/>
        <v>76028340.80461885</v>
      </c>
      <c r="M84" s="65"/>
    </row>
    <row r="85" spans="1:13" ht="12">
      <c r="A85" s="67" t="s">
        <v>52</v>
      </c>
      <c r="B85" s="68" t="s">
        <v>406</v>
      </c>
      <c r="C85" s="154">
        <v>114000000</v>
      </c>
      <c r="D85" s="152">
        <f t="shared" si="24"/>
        <v>118560000</v>
      </c>
      <c r="E85" s="152">
        <f t="shared" si="25"/>
        <v>121523999.99999999</v>
      </c>
      <c r="F85" s="152">
        <f aca="true" t="shared" si="32" ref="F85:K85">+E85*1.025</f>
        <v>124562099.99999997</v>
      </c>
      <c r="G85" s="152">
        <f t="shared" si="32"/>
        <v>127676152.49999996</v>
      </c>
      <c r="H85" s="152">
        <f t="shared" si="32"/>
        <v>130868056.31249994</v>
      </c>
      <c r="I85" s="152">
        <f t="shared" si="32"/>
        <v>134139757.72031243</v>
      </c>
      <c r="J85" s="152">
        <f t="shared" si="32"/>
        <v>137493251.66332024</v>
      </c>
      <c r="K85" s="152">
        <f t="shared" si="32"/>
        <v>140930582.95490324</v>
      </c>
      <c r="L85" s="152">
        <f t="shared" si="29"/>
        <v>144453847.5287758</v>
      </c>
      <c r="M85" s="65"/>
    </row>
    <row r="86" spans="1:13" ht="12">
      <c r="A86" s="67" t="s">
        <v>90</v>
      </c>
      <c r="B86" s="71" t="s">
        <v>91</v>
      </c>
      <c r="C86" s="154">
        <v>212430000</v>
      </c>
      <c r="D86" s="152">
        <f t="shared" si="24"/>
        <v>220927200</v>
      </c>
      <c r="E86" s="152">
        <f t="shared" si="25"/>
        <v>226450379.99999997</v>
      </c>
      <c r="F86" s="152">
        <f aca="true" t="shared" si="33" ref="F86:K86">+E86*1.025</f>
        <v>232111639.49999994</v>
      </c>
      <c r="G86" s="152">
        <f t="shared" si="33"/>
        <v>237914430.48749992</v>
      </c>
      <c r="H86" s="152">
        <f t="shared" si="33"/>
        <v>243862291.2496874</v>
      </c>
      <c r="I86" s="152">
        <f t="shared" si="33"/>
        <v>249958848.53092957</v>
      </c>
      <c r="J86" s="152">
        <f t="shared" si="33"/>
        <v>256207819.7442028</v>
      </c>
      <c r="K86" s="152">
        <f t="shared" si="33"/>
        <v>262613015.23780784</v>
      </c>
      <c r="L86" s="152">
        <f t="shared" si="29"/>
        <v>269178340.618753</v>
      </c>
      <c r="M86" s="65"/>
    </row>
    <row r="87" spans="1:13" ht="24">
      <c r="A87" s="67" t="s">
        <v>53</v>
      </c>
      <c r="B87" s="68" t="s">
        <v>410</v>
      </c>
      <c r="C87" s="154">
        <v>1000</v>
      </c>
      <c r="D87" s="152">
        <f t="shared" si="24"/>
        <v>1040</v>
      </c>
      <c r="E87" s="152">
        <f aca="true" t="shared" si="34" ref="E87:L87">+D87*1.04</f>
        <v>1081.6000000000001</v>
      </c>
      <c r="F87" s="152">
        <f t="shared" si="34"/>
        <v>1124.8640000000003</v>
      </c>
      <c r="G87" s="152">
        <f t="shared" si="34"/>
        <v>1169.8585600000004</v>
      </c>
      <c r="H87" s="152">
        <f t="shared" si="34"/>
        <v>1216.6529024000004</v>
      </c>
      <c r="I87" s="152">
        <f t="shared" si="34"/>
        <v>1265.3190184960004</v>
      </c>
      <c r="J87" s="152">
        <f t="shared" si="34"/>
        <v>1315.9317792358404</v>
      </c>
      <c r="K87" s="152">
        <f t="shared" si="34"/>
        <v>1368.569050405274</v>
      </c>
      <c r="L87" s="152">
        <f t="shared" si="34"/>
        <v>1423.311812421485</v>
      </c>
      <c r="M87" s="65"/>
    </row>
    <row r="88" spans="1:13" s="66" customFormat="1" ht="12">
      <c r="A88" s="64" t="s">
        <v>54</v>
      </c>
      <c r="B88" s="58" t="s">
        <v>99</v>
      </c>
      <c r="C88" s="159">
        <v>6381000000</v>
      </c>
      <c r="D88" s="152">
        <f t="shared" si="24"/>
        <v>6636240000</v>
      </c>
      <c r="E88" s="152">
        <f t="shared" si="25"/>
        <v>6802145999.999999</v>
      </c>
      <c r="F88" s="152">
        <f t="shared" si="25"/>
        <v>6972199649.999998</v>
      </c>
      <c r="G88" s="152">
        <f t="shared" si="25"/>
        <v>7146504641.249997</v>
      </c>
      <c r="H88" s="152">
        <f t="shared" si="25"/>
        <v>7325167257.281246</v>
      </c>
      <c r="I88" s="152">
        <f t="shared" si="25"/>
        <v>7508296438.713277</v>
      </c>
      <c r="J88" s="152">
        <f t="shared" si="25"/>
        <v>7696003849.681108</v>
      </c>
      <c r="K88" s="152">
        <f t="shared" si="25"/>
        <v>7888403945.923136</v>
      </c>
      <c r="L88" s="152">
        <f aca="true" t="shared" si="35" ref="L88:L119">+K88*1.025</f>
        <v>8085614044.571214</v>
      </c>
      <c r="M88" s="65"/>
    </row>
    <row r="89" spans="1:12" ht="12">
      <c r="A89" s="67" t="s">
        <v>55</v>
      </c>
      <c r="B89" s="68" t="s">
        <v>413</v>
      </c>
      <c r="C89" s="154">
        <f>+C90</f>
        <v>178147349</v>
      </c>
      <c r="D89" s="152">
        <f t="shared" si="24"/>
        <v>185273242.96</v>
      </c>
      <c r="E89" s="152">
        <f t="shared" si="25"/>
        <v>189905074.03399998</v>
      </c>
      <c r="F89" s="152">
        <f t="shared" si="25"/>
        <v>194652700.88484997</v>
      </c>
      <c r="G89" s="152">
        <f t="shared" si="25"/>
        <v>199519018.4069712</v>
      </c>
      <c r="H89" s="152">
        <f t="shared" si="25"/>
        <v>204506993.86714545</v>
      </c>
      <c r="I89" s="152">
        <f t="shared" si="25"/>
        <v>209619668.71382406</v>
      </c>
      <c r="J89" s="152">
        <f t="shared" si="25"/>
        <v>214860160.43166965</v>
      </c>
      <c r="K89" s="152">
        <f t="shared" si="25"/>
        <v>220231664.44246137</v>
      </c>
      <c r="L89" s="152">
        <f t="shared" si="35"/>
        <v>225737456.05352288</v>
      </c>
    </row>
    <row r="90" spans="1:13" ht="12">
      <c r="A90" s="67" t="s">
        <v>56</v>
      </c>
      <c r="B90" s="68" t="s">
        <v>414</v>
      </c>
      <c r="C90" s="154">
        <v>178147349</v>
      </c>
      <c r="D90" s="152">
        <f t="shared" si="24"/>
        <v>185273242.96</v>
      </c>
      <c r="E90" s="152">
        <f t="shared" si="25"/>
        <v>189905074.03399998</v>
      </c>
      <c r="F90" s="152">
        <f t="shared" si="25"/>
        <v>194652700.88484997</v>
      </c>
      <c r="G90" s="152">
        <f t="shared" si="25"/>
        <v>199519018.4069712</v>
      </c>
      <c r="H90" s="152">
        <f t="shared" si="25"/>
        <v>204506993.86714545</v>
      </c>
      <c r="I90" s="152">
        <f t="shared" si="25"/>
        <v>209619668.71382406</v>
      </c>
      <c r="J90" s="152">
        <f t="shared" si="25"/>
        <v>214860160.43166965</v>
      </c>
      <c r="K90" s="152">
        <f t="shared" si="25"/>
        <v>220231664.44246137</v>
      </c>
      <c r="L90" s="152">
        <f t="shared" si="35"/>
        <v>225737456.05352288</v>
      </c>
      <c r="M90" s="65"/>
    </row>
    <row r="91" spans="1:13" ht="24">
      <c r="A91" s="67" t="s">
        <v>57</v>
      </c>
      <c r="B91" s="68" t="s">
        <v>410</v>
      </c>
      <c r="C91" s="154">
        <v>1000</v>
      </c>
      <c r="D91" s="152">
        <f t="shared" si="24"/>
        <v>1040</v>
      </c>
      <c r="E91" s="152">
        <f t="shared" si="25"/>
        <v>1066</v>
      </c>
      <c r="F91" s="152">
        <f t="shared" si="25"/>
        <v>1092.6499999999999</v>
      </c>
      <c r="G91" s="152">
        <f t="shared" si="25"/>
        <v>1119.9662499999997</v>
      </c>
      <c r="H91" s="152">
        <f t="shared" si="25"/>
        <v>1147.9654062499997</v>
      </c>
      <c r="I91" s="152">
        <f t="shared" si="25"/>
        <v>1176.6645414062496</v>
      </c>
      <c r="J91" s="152">
        <f t="shared" si="25"/>
        <v>1206.0811549414057</v>
      </c>
      <c r="K91" s="152">
        <f t="shared" si="25"/>
        <v>1236.2331838149407</v>
      </c>
      <c r="L91" s="152">
        <f t="shared" si="35"/>
        <v>1267.1390134103142</v>
      </c>
      <c r="M91" s="65"/>
    </row>
    <row r="92" spans="1:13" s="66" customFormat="1" ht="24">
      <c r="A92" s="64" t="s">
        <v>58</v>
      </c>
      <c r="B92" s="58" t="s">
        <v>803</v>
      </c>
      <c r="C92" s="159">
        <v>1420000000</v>
      </c>
      <c r="D92" s="152">
        <f t="shared" si="24"/>
        <v>1476800000</v>
      </c>
      <c r="E92" s="152">
        <f t="shared" si="25"/>
        <v>1513719999.9999998</v>
      </c>
      <c r="F92" s="152">
        <f t="shared" si="25"/>
        <v>1551562999.9999995</v>
      </c>
      <c r="G92" s="152">
        <f t="shared" si="25"/>
        <v>1590352074.9999993</v>
      </c>
      <c r="H92" s="152">
        <f t="shared" si="25"/>
        <v>1630110876.874999</v>
      </c>
      <c r="I92" s="152">
        <f t="shared" si="25"/>
        <v>1670863648.7968738</v>
      </c>
      <c r="J92" s="152">
        <f t="shared" si="25"/>
        <v>1712635240.0167954</v>
      </c>
      <c r="K92" s="152">
        <f t="shared" si="25"/>
        <v>1755451121.017215</v>
      </c>
      <c r="L92" s="152">
        <f t="shared" si="35"/>
        <v>1799337399.0426452</v>
      </c>
      <c r="M92" s="65"/>
    </row>
    <row r="93" spans="1:12" ht="12">
      <c r="A93" s="64" t="s">
        <v>59</v>
      </c>
      <c r="B93" s="58" t="s">
        <v>415</v>
      </c>
      <c r="C93" s="159">
        <f>SUM(C94:C100)</f>
        <v>996152763</v>
      </c>
      <c r="D93" s="152">
        <f t="shared" si="24"/>
        <v>1035998873.52</v>
      </c>
      <c r="E93" s="152">
        <f t="shared" si="25"/>
        <v>1061898845.3579999</v>
      </c>
      <c r="F93" s="152">
        <f t="shared" si="25"/>
        <v>1088446316.4919498</v>
      </c>
      <c r="G93" s="152">
        <f t="shared" si="25"/>
        <v>1115657474.4042485</v>
      </c>
      <c r="H93" s="152">
        <f t="shared" si="25"/>
        <v>1143548911.2643547</v>
      </c>
      <c r="I93" s="152">
        <f t="shared" si="25"/>
        <v>1172137634.0459635</v>
      </c>
      <c r="J93" s="152">
        <f t="shared" si="25"/>
        <v>1201441074.8971126</v>
      </c>
      <c r="K93" s="152">
        <f t="shared" si="25"/>
        <v>1231477101.7695403</v>
      </c>
      <c r="L93" s="152">
        <f t="shared" si="35"/>
        <v>1262264029.3137786</v>
      </c>
    </row>
    <row r="94" spans="1:13" ht="24">
      <c r="A94" s="67" t="s">
        <v>60</v>
      </c>
      <c r="B94" s="68" t="s">
        <v>416</v>
      </c>
      <c r="C94" s="154">
        <v>66619654</v>
      </c>
      <c r="D94" s="152">
        <f t="shared" si="24"/>
        <v>69284440.16</v>
      </c>
      <c r="E94" s="152">
        <f aca="true" t="shared" si="36" ref="E94:K109">+D94*1.025</f>
        <v>71016551.16399999</v>
      </c>
      <c r="F94" s="152">
        <f t="shared" si="36"/>
        <v>72791964.94309999</v>
      </c>
      <c r="G94" s="152">
        <f t="shared" si="36"/>
        <v>74611764.06667748</v>
      </c>
      <c r="H94" s="152">
        <f t="shared" si="36"/>
        <v>76477058.16834441</v>
      </c>
      <c r="I94" s="152">
        <f t="shared" si="36"/>
        <v>78388984.622553</v>
      </c>
      <c r="J94" s="152">
        <f t="shared" si="36"/>
        <v>80348709.23811683</v>
      </c>
      <c r="K94" s="152">
        <f t="shared" si="36"/>
        <v>82357426.96906975</v>
      </c>
      <c r="L94" s="152">
        <f t="shared" si="35"/>
        <v>84416362.64329648</v>
      </c>
      <c r="M94" s="65"/>
    </row>
    <row r="95" spans="1:13" ht="12">
      <c r="A95" s="67" t="s">
        <v>61</v>
      </c>
      <c r="B95" s="68" t="s">
        <v>417</v>
      </c>
      <c r="C95" s="154">
        <v>100000000</v>
      </c>
      <c r="D95" s="152">
        <f t="shared" si="24"/>
        <v>104000000</v>
      </c>
      <c r="E95" s="152">
        <f t="shared" si="36"/>
        <v>106599999.99999999</v>
      </c>
      <c r="F95" s="152">
        <f t="shared" si="36"/>
        <v>109264999.99999997</v>
      </c>
      <c r="G95" s="152">
        <f t="shared" si="36"/>
        <v>111996624.99999996</v>
      </c>
      <c r="H95" s="152">
        <f t="shared" si="36"/>
        <v>114796540.62499994</v>
      </c>
      <c r="I95" s="152">
        <f t="shared" si="36"/>
        <v>117666454.14062493</v>
      </c>
      <c r="J95" s="152">
        <f t="shared" si="36"/>
        <v>120608115.49414054</v>
      </c>
      <c r="K95" s="152">
        <f t="shared" si="36"/>
        <v>123623318.38149405</v>
      </c>
      <c r="L95" s="152">
        <f t="shared" si="35"/>
        <v>126713901.34103139</v>
      </c>
      <c r="M95" s="65"/>
    </row>
    <row r="96" spans="1:13" ht="36">
      <c r="A96" s="67" t="s">
        <v>62</v>
      </c>
      <c r="B96" s="68" t="s">
        <v>418</v>
      </c>
      <c r="C96" s="154">
        <v>7400000</v>
      </c>
      <c r="D96" s="152">
        <f t="shared" si="24"/>
        <v>7696000</v>
      </c>
      <c r="E96" s="152">
        <f t="shared" si="36"/>
        <v>7888399.999999999</v>
      </c>
      <c r="F96" s="152">
        <f t="shared" si="36"/>
        <v>8085609.999999998</v>
      </c>
      <c r="G96" s="152">
        <f t="shared" si="36"/>
        <v>8287750.249999997</v>
      </c>
      <c r="H96" s="152">
        <f t="shared" si="36"/>
        <v>8494944.006249996</v>
      </c>
      <c r="I96" s="152">
        <f t="shared" si="36"/>
        <v>8707317.606406245</v>
      </c>
      <c r="J96" s="152">
        <f t="shared" si="36"/>
        <v>8925000.5465664</v>
      </c>
      <c r="K96" s="152">
        <f t="shared" si="36"/>
        <v>9148125.56023056</v>
      </c>
      <c r="L96" s="152">
        <f t="shared" si="35"/>
        <v>9376828.699236324</v>
      </c>
      <c r="M96" s="65"/>
    </row>
    <row r="97" spans="1:13" ht="24">
      <c r="A97" s="67" t="s">
        <v>63</v>
      </c>
      <c r="B97" s="68" t="s">
        <v>419</v>
      </c>
      <c r="C97" s="154">
        <v>30000000</v>
      </c>
      <c r="D97" s="152">
        <f t="shared" si="24"/>
        <v>31200000</v>
      </c>
      <c r="E97" s="152">
        <f t="shared" si="36"/>
        <v>31979999.999999996</v>
      </c>
      <c r="F97" s="152">
        <f t="shared" si="36"/>
        <v>32779499.999999993</v>
      </c>
      <c r="G97" s="152">
        <f t="shared" si="36"/>
        <v>33598987.49999999</v>
      </c>
      <c r="H97" s="152">
        <f t="shared" si="36"/>
        <v>34438962.18749999</v>
      </c>
      <c r="I97" s="152">
        <f t="shared" si="36"/>
        <v>35299936.24218749</v>
      </c>
      <c r="J97" s="152">
        <f t="shared" si="36"/>
        <v>36182434.648242176</v>
      </c>
      <c r="K97" s="152">
        <f t="shared" si="36"/>
        <v>37086995.514448225</v>
      </c>
      <c r="L97" s="152">
        <f t="shared" si="35"/>
        <v>38014170.402309425</v>
      </c>
      <c r="M97" s="65"/>
    </row>
    <row r="98" spans="1:13" ht="24">
      <c r="A98" s="67" t="s">
        <v>64</v>
      </c>
      <c r="B98" s="68" t="s">
        <v>420</v>
      </c>
      <c r="C98" s="154">
        <v>20000000</v>
      </c>
      <c r="D98" s="152">
        <f t="shared" si="24"/>
        <v>20800000</v>
      </c>
      <c r="E98" s="152">
        <f t="shared" si="36"/>
        <v>21320000</v>
      </c>
      <c r="F98" s="152">
        <f t="shared" si="36"/>
        <v>21852999.999999996</v>
      </c>
      <c r="G98" s="152">
        <f t="shared" si="36"/>
        <v>22399324.999999993</v>
      </c>
      <c r="H98" s="152">
        <f t="shared" si="36"/>
        <v>22959308.12499999</v>
      </c>
      <c r="I98" s="152">
        <f t="shared" si="36"/>
        <v>23533290.828124985</v>
      </c>
      <c r="J98" s="152">
        <f t="shared" si="36"/>
        <v>24121623.098828107</v>
      </c>
      <c r="K98" s="152">
        <f t="shared" si="36"/>
        <v>24724663.67629881</v>
      </c>
      <c r="L98" s="152">
        <f t="shared" si="35"/>
        <v>25342780.268206276</v>
      </c>
      <c r="M98" s="65"/>
    </row>
    <row r="99" spans="1:13" ht="24">
      <c r="A99" s="67" t="s">
        <v>65</v>
      </c>
      <c r="B99" s="68" t="s">
        <v>421</v>
      </c>
      <c r="C99" s="154">
        <v>305795534</v>
      </c>
      <c r="D99" s="152">
        <f t="shared" si="24"/>
        <v>318027355.36</v>
      </c>
      <c r="E99" s="152">
        <f t="shared" si="36"/>
        <v>325978039.24399996</v>
      </c>
      <c r="F99" s="152">
        <f t="shared" si="36"/>
        <v>334127490.2250999</v>
      </c>
      <c r="G99" s="152">
        <f t="shared" si="36"/>
        <v>342480677.4807274</v>
      </c>
      <c r="H99" s="152">
        <f t="shared" si="36"/>
        <v>351042694.41774553</v>
      </c>
      <c r="I99" s="152">
        <f t="shared" si="36"/>
        <v>359818761.7781891</v>
      </c>
      <c r="J99" s="152">
        <f t="shared" si="36"/>
        <v>368814230.8226438</v>
      </c>
      <c r="K99" s="152">
        <f t="shared" si="36"/>
        <v>378034586.59320986</v>
      </c>
      <c r="L99" s="152">
        <f t="shared" si="35"/>
        <v>387485451.2580401</v>
      </c>
      <c r="M99" s="65"/>
    </row>
    <row r="100" spans="1:13" ht="12">
      <c r="A100" s="67" t="s">
        <v>93</v>
      </c>
      <c r="B100" s="68" t="s">
        <v>92</v>
      </c>
      <c r="C100" s="154">
        <v>466337575</v>
      </c>
      <c r="D100" s="152">
        <f t="shared" si="24"/>
        <v>484991078</v>
      </c>
      <c r="E100" s="152">
        <f t="shared" si="36"/>
        <v>497115854.9499999</v>
      </c>
      <c r="F100" s="152">
        <f t="shared" si="36"/>
        <v>509543751.3237499</v>
      </c>
      <c r="G100" s="152">
        <f t="shared" si="36"/>
        <v>522282345.1068436</v>
      </c>
      <c r="H100" s="152">
        <f t="shared" si="36"/>
        <v>535339403.73451465</v>
      </c>
      <c r="I100" s="152">
        <f t="shared" si="36"/>
        <v>548722888.8278775</v>
      </c>
      <c r="J100" s="152">
        <f t="shared" si="36"/>
        <v>562440961.0485744</v>
      </c>
      <c r="K100" s="152">
        <f t="shared" si="36"/>
        <v>576501985.0747888</v>
      </c>
      <c r="L100" s="152">
        <f t="shared" si="35"/>
        <v>590914534.7016585</v>
      </c>
      <c r="M100" s="65"/>
    </row>
    <row r="101" spans="1:12" ht="12">
      <c r="A101" s="64" t="s">
        <v>66</v>
      </c>
      <c r="B101" s="58" t="s">
        <v>422</v>
      </c>
      <c r="C101" s="159">
        <f>SUM(C102:C104)</f>
        <v>116619654</v>
      </c>
      <c r="D101" s="152">
        <f t="shared" si="24"/>
        <v>121284440.16000001</v>
      </c>
      <c r="E101" s="152">
        <f t="shared" si="36"/>
        <v>124316551.164</v>
      </c>
      <c r="F101" s="152">
        <f t="shared" si="36"/>
        <v>127424464.94309999</v>
      </c>
      <c r="G101" s="152">
        <f t="shared" si="36"/>
        <v>130610076.56667748</v>
      </c>
      <c r="H101" s="152">
        <f t="shared" si="36"/>
        <v>133875328.48084441</v>
      </c>
      <c r="I101" s="152">
        <f t="shared" si="36"/>
        <v>137222211.69286552</v>
      </c>
      <c r="J101" s="152">
        <f t="shared" si="36"/>
        <v>140652766.98518714</v>
      </c>
      <c r="K101" s="152">
        <f t="shared" si="36"/>
        <v>144169086.1598168</v>
      </c>
      <c r="L101" s="152">
        <f t="shared" si="35"/>
        <v>147773313.3138122</v>
      </c>
    </row>
    <row r="102" spans="1:13" ht="24">
      <c r="A102" s="67" t="s">
        <v>67</v>
      </c>
      <c r="B102" s="68" t="s">
        <v>423</v>
      </c>
      <c r="C102" s="154">
        <v>66619654</v>
      </c>
      <c r="D102" s="152">
        <f t="shared" si="24"/>
        <v>69284440.16</v>
      </c>
      <c r="E102" s="152">
        <f t="shared" si="36"/>
        <v>71016551.16399999</v>
      </c>
      <c r="F102" s="152">
        <f t="shared" si="36"/>
        <v>72791964.94309999</v>
      </c>
      <c r="G102" s="152">
        <f t="shared" si="36"/>
        <v>74611764.06667748</v>
      </c>
      <c r="H102" s="152">
        <f t="shared" si="36"/>
        <v>76477058.16834441</v>
      </c>
      <c r="I102" s="152">
        <f t="shared" si="36"/>
        <v>78388984.622553</v>
      </c>
      <c r="J102" s="152">
        <f t="shared" si="36"/>
        <v>80348709.23811683</v>
      </c>
      <c r="K102" s="152">
        <f t="shared" si="36"/>
        <v>82357426.96906975</v>
      </c>
      <c r="L102" s="152">
        <f t="shared" si="35"/>
        <v>84416362.64329648</v>
      </c>
      <c r="M102" s="65"/>
    </row>
    <row r="103" spans="1:13" ht="12">
      <c r="A103" s="67" t="s">
        <v>68</v>
      </c>
      <c r="B103" s="68" t="s">
        <v>417</v>
      </c>
      <c r="C103" s="154">
        <v>20000000</v>
      </c>
      <c r="D103" s="152">
        <f t="shared" si="24"/>
        <v>20800000</v>
      </c>
      <c r="E103" s="152">
        <f t="shared" si="36"/>
        <v>21320000</v>
      </c>
      <c r="F103" s="152">
        <f t="shared" si="36"/>
        <v>21852999.999999996</v>
      </c>
      <c r="G103" s="152">
        <f t="shared" si="36"/>
        <v>22399324.999999993</v>
      </c>
      <c r="H103" s="152">
        <f t="shared" si="36"/>
        <v>22959308.12499999</v>
      </c>
      <c r="I103" s="152">
        <f t="shared" si="36"/>
        <v>23533290.828124985</v>
      </c>
      <c r="J103" s="152">
        <f t="shared" si="36"/>
        <v>24121623.098828107</v>
      </c>
      <c r="K103" s="152">
        <f t="shared" si="36"/>
        <v>24724663.67629881</v>
      </c>
      <c r="L103" s="152">
        <f t="shared" si="35"/>
        <v>25342780.268206276</v>
      </c>
      <c r="M103" s="65"/>
    </row>
    <row r="104" spans="1:13" ht="24">
      <c r="A104" s="67" t="s">
        <v>69</v>
      </c>
      <c r="B104" s="68" t="s">
        <v>424</v>
      </c>
      <c r="C104" s="154">
        <v>30000000</v>
      </c>
      <c r="D104" s="152">
        <f t="shared" si="24"/>
        <v>31200000</v>
      </c>
      <c r="E104" s="152">
        <f t="shared" si="36"/>
        <v>31979999.999999996</v>
      </c>
      <c r="F104" s="152">
        <f t="shared" si="36"/>
        <v>32779499.999999993</v>
      </c>
      <c r="G104" s="152">
        <f t="shared" si="36"/>
        <v>33598987.49999999</v>
      </c>
      <c r="H104" s="152">
        <f t="shared" si="36"/>
        <v>34438962.18749999</v>
      </c>
      <c r="I104" s="152">
        <f t="shared" si="36"/>
        <v>35299936.24218749</v>
      </c>
      <c r="J104" s="152">
        <f t="shared" si="36"/>
        <v>36182434.648242176</v>
      </c>
      <c r="K104" s="152">
        <f t="shared" si="36"/>
        <v>37086995.514448225</v>
      </c>
      <c r="L104" s="152">
        <f t="shared" si="35"/>
        <v>38014170.402309425</v>
      </c>
      <c r="M104" s="65"/>
    </row>
    <row r="105" spans="1:12" ht="12">
      <c r="A105" s="64" t="s">
        <v>70</v>
      </c>
      <c r="B105" s="58" t="s">
        <v>425</v>
      </c>
      <c r="C105" s="159">
        <f>SUM(C106:C107)</f>
        <v>89619654</v>
      </c>
      <c r="D105" s="152">
        <f t="shared" si="24"/>
        <v>93204440.16</v>
      </c>
      <c r="E105" s="152">
        <f t="shared" si="36"/>
        <v>95534551.16399999</v>
      </c>
      <c r="F105" s="152">
        <f t="shared" si="36"/>
        <v>97922914.94309998</v>
      </c>
      <c r="G105" s="152">
        <f t="shared" si="36"/>
        <v>100370987.81667747</v>
      </c>
      <c r="H105" s="152">
        <f t="shared" si="36"/>
        <v>102880262.5120944</v>
      </c>
      <c r="I105" s="152">
        <f t="shared" si="36"/>
        <v>105452269.07489674</v>
      </c>
      <c r="J105" s="152">
        <f t="shared" si="36"/>
        <v>108088575.80176915</v>
      </c>
      <c r="K105" s="152">
        <f t="shared" si="36"/>
        <v>110790790.19681337</v>
      </c>
      <c r="L105" s="152">
        <f t="shared" si="35"/>
        <v>113560559.9517337</v>
      </c>
    </row>
    <row r="106" spans="1:13" ht="24">
      <c r="A106" s="67" t="s">
        <v>71</v>
      </c>
      <c r="B106" s="68" t="s">
        <v>423</v>
      </c>
      <c r="C106" s="154">
        <v>66619654</v>
      </c>
      <c r="D106" s="152">
        <f t="shared" si="24"/>
        <v>69284440.16</v>
      </c>
      <c r="E106" s="152">
        <f t="shared" si="36"/>
        <v>71016551.16399999</v>
      </c>
      <c r="F106" s="152">
        <f t="shared" si="36"/>
        <v>72791964.94309999</v>
      </c>
      <c r="G106" s="152">
        <f t="shared" si="36"/>
        <v>74611764.06667748</v>
      </c>
      <c r="H106" s="152">
        <f t="shared" si="36"/>
        <v>76477058.16834441</v>
      </c>
      <c r="I106" s="152">
        <f t="shared" si="36"/>
        <v>78388984.622553</v>
      </c>
      <c r="J106" s="152">
        <f t="shared" si="36"/>
        <v>80348709.23811683</v>
      </c>
      <c r="K106" s="152">
        <f t="shared" si="36"/>
        <v>82357426.96906975</v>
      </c>
      <c r="L106" s="152">
        <f t="shared" si="35"/>
        <v>84416362.64329648</v>
      </c>
      <c r="M106" s="65"/>
    </row>
    <row r="107" spans="1:13" ht="12">
      <c r="A107" s="67" t="s">
        <v>72</v>
      </c>
      <c r="B107" s="68" t="s">
        <v>426</v>
      </c>
      <c r="C107" s="154">
        <v>23000000</v>
      </c>
      <c r="D107" s="152">
        <f t="shared" si="24"/>
        <v>23920000</v>
      </c>
      <c r="E107" s="152">
        <f t="shared" si="36"/>
        <v>24517999.999999996</v>
      </c>
      <c r="F107" s="152">
        <f t="shared" si="36"/>
        <v>25130949.999999993</v>
      </c>
      <c r="G107" s="152">
        <f t="shared" si="36"/>
        <v>25759223.74999999</v>
      </c>
      <c r="H107" s="152">
        <f t="shared" si="36"/>
        <v>26403204.343749985</v>
      </c>
      <c r="I107" s="152">
        <f t="shared" si="36"/>
        <v>27063284.452343732</v>
      </c>
      <c r="J107" s="152">
        <f t="shared" si="36"/>
        <v>27739866.56365232</v>
      </c>
      <c r="K107" s="152">
        <f t="shared" si="36"/>
        <v>28433363.227743626</v>
      </c>
      <c r="L107" s="152">
        <f t="shared" si="35"/>
        <v>29144197.308437213</v>
      </c>
      <c r="M107" s="65"/>
    </row>
    <row r="108" spans="1:13" ht="24">
      <c r="A108" s="67" t="s">
        <v>73</v>
      </c>
      <c r="B108" s="68" t="s">
        <v>427</v>
      </c>
      <c r="C108" s="154">
        <v>130000000</v>
      </c>
      <c r="D108" s="152">
        <f t="shared" si="24"/>
        <v>135200000</v>
      </c>
      <c r="E108" s="152">
        <f t="shared" si="36"/>
        <v>138580000</v>
      </c>
      <c r="F108" s="152">
        <f t="shared" si="36"/>
        <v>142044500</v>
      </c>
      <c r="G108" s="152">
        <f t="shared" si="36"/>
        <v>145595612.5</v>
      </c>
      <c r="H108" s="152">
        <f t="shared" si="36"/>
        <v>149235502.8125</v>
      </c>
      <c r="I108" s="152">
        <f t="shared" si="36"/>
        <v>152966390.3828125</v>
      </c>
      <c r="J108" s="152">
        <f t="shared" si="36"/>
        <v>156790550.1423828</v>
      </c>
      <c r="K108" s="152">
        <f t="shared" si="36"/>
        <v>160710313.89594236</v>
      </c>
      <c r="L108" s="152">
        <f t="shared" si="35"/>
        <v>164728071.7433409</v>
      </c>
      <c r="M108" s="65"/>
    </row>
    <row r="109" spans="1:13" ht="24">
      <c r="A109" s="67" t="s">
        <v>74</v>
      </c>
      <c r="B109" s="68" t="s">
        <v>410</v>
      </c>
      <c r="C109" s="154">
        <v>1000</v>
      </c>
      <c r="D109" s="152">
        <f t="shared" si="24"/>
        <v>1040</v>
      </c>
      <c r="E109" s="152">
        <f t="shared" si="36"/>
        <v>1066</v>
      </c>
      <c r="F109" s="152">
        <f t="shared" si="36"/>
        <v>1092.6499999999999</v>
      </c>
      <c r="G109" s="152">
        <f t="shared" si="36"/>
        <v>1119.9662499999997</v>
      </c>
      <c r="H109" s="152">
        <f t="shared" si="36"/>
        <v>1147.9654062499997</v>
      </c>
      <c r="I109" s="152">
        <f t="shared" si="36"/>
        <v>1176.6645414062496</v>
      </c>
      <c r="J109" s="152">
        <f t="shared" si="36"/>
        <v>1206.0811549414057</v>
      </c>
      <c r="K109" s="152">
        <f t="shared" si="36"/>
        <v>1236.2331838149407</v>
      </c>
      <c r="L109" s="152">
        <f t="shared" si="35"/>
        <v>1267.1390134103142</v>
      </c>
      <c r="M109" s="65"/>
    </row>
    <row r="110" spans="1:13" s="66" customFormat="1" ht="12">
      <c r="A110" s="64" t="s">
        <v>75</v>
      </c>
      <c r="B110" s="58" t="s">
        <v>98</v>
      </c>
      <c r="C110" s="159">
        <v>116500000</v>
      </c>
      <c r="D110" s="152">
        <f t="shared" si="24"/>
        <v>121160000</v>
      </c>
      <c r="E110" s="152">
        <f aca="true" t="shared" si="37" ref="E110:K125">+D110*1.025</f>
        <v>124188999.99999999</v>
      </c>
      <c r="F110" s="152">
        <f t="shared" si="37"/>
        <v>127293724.99999997</v>
      </c>
      <c r="G110" s="152">
        <f t="shared" si="37"/>
        <v>130476068.12499996</v>
      </c>
      <c r="H110" s="152">
        <f t="shared" si="37"/>
        <v>133737969.82812494</v>
      </c>
      <c r="I110" s="152">
        <f t="shared" si="37"/>
        <v>137081419.07382804</v>
      </c>
      <c r="J110" s="152">
        <f t="shared" si="37"/>
        <v>140508454.55067372</v>
      </c>
      <c r="K110" s="152">
        <f t="shared" si="37"/>
        <v>144021165.91444054</v>
      </c>
      <c r="L110" s="152">
        <f t="shared" si="35"/>
        <v>147621695.06230155</v>
      </c>
      <c r="M110" s="65"/>
    </row>
    <row r="111" spans="1:13" ht="24">
      <c r="A111" s="67" t="s">
        <v>76</v>
      </c>
      <c r="B111" s="68" t="s">
        <v>428</v>
      </c>
      <c r="C111" s="154">
        <v>33000000</v>
      </c>
      <c r="D111" s="152">
        <f t="shared" si="24"/>
        <v>34320000</v>
      </c>
      <c r="E111" s="152">
        <f t="shared" si="37"/>
        <v>35178000</v>
      </c>
      <c r="F111" s="152">
        <f t="shared" si="37"/>
        <v>36057450</v>
      </c>
      <c r="G111" s="152">
        <f t="shared" si="37"/>
        <v>36958886.25</v>
      </c>
      <c r="H111" s="152">
        <f t="shared" si="37"/>
        <v>37882858.40625</v>
      </c>
      <c r="I111" s="152">
        <f t="shared" si="37"/>
        <v>38829929.86640625</v>
      </c>
      <c r="J111" s="152">
        <f t="shared" si="37"/>
        <v>39800678.1130664</v>
      </c>
      <c r="K111" s="152">
        <f t="shared" si="37"/>
        <v>40795695.065893054</v>
      </c>
      <c r="L111" s="152">
        <f t="shared" si="35"/>
        <v>41815587.44254038</v>
      </c>
      <c r="M111" s="65"/>
    </row>
    <row r="112" spans="1:13" ht="24">
      <c r="A112" s="67" t="s">
        <v>77</v>
      </c>
      <c r="B112" s="68" t="s">
        <v>429</v>
      </c>
      <c r="C112" s="154">
        <v>21000000</v>
      </c>
      <c r="D112" s="152">
        <f t="shared" si="24"/>
        <v>21840000</v>
      </c>
      <c r="E112" s="152">
        <f t="shared" si="37"/>
        <v>22385999.999999996</v>
      </c>
      <c r="F112" s="152">
        <f t="shared" si="37"/>
        <v>22945649.999999993</v>
      </c>
      <c r="G112" s="152">
        <f t="shared" si="37"/>
        <v>23519291.24999999</v>
      </c>
      <c r="H112" s="152">
        <f t="shared" si="37"/>
        <v>24107273.531249985</v>
      </c>
      <c r="I112" s="152">
        <f t="shared" si="37"/>
        <v>24709955.369531233</v>
      </c>
      <c r="J112" s="152">
        <f t="shared" si="37"/>
        <v>25327704.253769513</v>
      </c>
      <c r="K112" s="152">
        <f t="shared" si="37"/>
        <v>25960896.860113747</v>
      </c>
      <c r="L112" s="152">
        <f t="shared" si="35"/>
        <v>26609919.281616587</v>
      </c>
      <c r="M112" s="65"/>
    </row>
    <row r="113" spans="1:13" ht="24">
      <c r="A113" s="67" t="s">
        <v>78</v>
      </c>
      <c r="B113" s="68" t="s">
        <v>430</v>
      </c>
      <c r="C113" s="154">
        <v>18038342</v>
      </c>
      <c r="D113" s="152">
        <f t="shared" si="24"/>
        <v>18759875.68</v>
      </c>
      <c r="E113" s="152">
        <f t="shared" si="37"/>
        <v>19228872.571999997</v>
      </c>
      <c r="F113" s="152">
        <f t="shared" si="37"/>
        <v>19709594.386299994</v>
      </c>
      <c r="G113" s="152">
        <f t="shared" si="37"/>
        <v>20202334.245957494</v>
      </c>
      <c r="H113" s="152">
        <f t="shared" si="37"/>
        <v>20707392.60210643</v>
      </c>
      <c r="I113" s="152">
        <f t="shared" si="37"/>
        <v>21225077.417159088</v>
      </c>
      <c r="J113" s="152">
        <f t="shared" si="37"/>
        <v>21755704.352588065</v>
      </c>
      <c r="K113" s="152">
        <f t="shared" si="37"/>
        <v>22299596.961402766</v>
      </c>
      <c r="L113" s="152">
        <f t="shared" si="35"/>
        <v>22857086.885437835</v>
      </c>
      <c r="M113" s="65"/>
    </row>
    <row r="114" spans="1:13" ht="24">
      <c r="A114" s="67" t="s">
        <v>79</v>
      </c>
      <c r="B114" s="68" t="s">
        <v>432</v>
      </c>
      <c r="C114" s="154">
        <v>25400000</v>
      </c>
      <c r="D114" s="152">
        <f t="shared" si="24"/>
        <v>26416000</v>
      </c>
      <c r="E114" s="152">
        <f t="shared" si="37"/>
        <v>27076399.999999996</v>
      </c>
      <c r="F114" s="152">
        <f t="shared" si="37"/>
        <v>27753309.999999993</v>
      </c>
      <c r="G114" s="152">
        <f t="shared" si="37"/>
        <v>28447142.74999999</v>
      </c>
      <c r="H114" s="152">
        <f t="shared" si="37"/>
        <v>29158321.318749987</v>
      </c>
      <c r="I114" s="152">
        <f t="shared" si="37"/>
        <v>29887279.351718735</v>
      </c>
      <c r="J114" s="152">
        <f t="shared" si="37"/>
        <v>30634461.3355117</v>
      </c>
      <c r="K114" s="152">
        <f t="shared" si="37"/>
        <v>31400322.86889949</v>
      </c>
      <c r="L114" s="152">
        <f t="shared" si="35"/>
        <v>32185330.940621976</v>
      </c>
      <c r="M114" s="65"/>
    </row>
    <row r="115" spans="1:13" ht="24">
      <c r="A115" s="67" t="s">
        <v>80</v>
      </c>
      <c r="B115" s="68" t="s">
        <v>410</v>
      </c>
      <c r="C115" s="154">
        <v>1000</v>
      </c>
      <c r="D115" s="152">
        <f t="shared" si="24"/>
        <v>1040</v>
      </c>
      <c r="E115" s="152">
        <f t="shared" si="37"/>
        <v>1066</v>
      </c>
      <c r="F115" s="152">
        <f t="shared" si="37"/>
        <v>1092.6499999999999</v>
      </c>
      <c r="G115" s="152">
        <f t="shared" si="37"/>
        <v>1119.9662499999997</v>
      </c>
      <c r="H115" s="152">
        <f t="shared" si="37"/>
        <v>1147.9654062499997</v>
      </c>
      <c r="I115" s="152">
        <f t="shared" si="37"/>
        <v>1176.6645414062496</v>
      </c>
      <c r="J115" s="152">
        <f t="shared" si="37"/>
        <v>1206.0811549414057</v>
      </c>
      <c r="K115" s="152">
        <f t="shared" si="37"/>
        <v>1236.2331838149407</v>
      </c>
      <c r="L115" s="152">
        <f t="shared" si="35"/>
        <v>1267.1390134103142</v>
      </c>
      <c r="M115" s="65"/>
    </row>
    <row r="116" spans="1:13" s="66" customFormat="1" ht="12">
      <c r="A116" s="64" t="s">
        <v>81</v>
      </c>
      <c r="B116" s="58" t="s">
        <v>97</v>
      </c>
      <c r="C116" s="159">
        <v>75000000</v>
      </c>
      <c r="D116" s="152">
        <f t="shared" si="24"/>
        <v>78000000</v>
      </c>
      <c r="E116" s="152">
        <f t="shared" si="37"/>
        <v>79950000</v>
      </c>
      <c r="F116" s="152">
        <f t="shared" si="37"/>
        <v>81948750</v>
      </c>
      <c r="G116" s="152">
        <f t="shared" si="37"/>
        <v>83997468.75</v>
      </c>
      <c r="H116" s="152">
        <f t="shared" si="37"/>
        <v>86097405.46874999</v>
      </c>
      <c r="I116" s="152">
        <f t="shared" si="37"/>
        <v>88249840.60546872</v>
      </c>
      <c r="J116" s="152">
        <f t="shared" si="37"/>
        <v>90456086.62060542</v>
      </c>
      <c r="K116" s="152">
        <f t="shared" si="37"/>
        <v>92717488.78612055</v>
      </c>
      <c r="L116" s="152">
        <f t="shared" si="35"/>
        <v>95035426.00577356</v>
      </c>
      <c r="M116" s="65"/>
    </row>
    <row r="117" spans="1:13" ht="24">
      <c r="A117" s="67" t="s">
        <v>82</v>
      </c>
      <c r="B117" s="68" t="s">
        <v>433</v>
      </c>
      <c r="C117" s="154">
        <v>20078508</v>
      </c>
      <c r="D117" s="152">
        <f t="shared" si="24"/>
        <v>20881648.32</v>
      </c>
      <c r="E117" s="152">
        <f t="shared" si="37"/>
        <v>21403689.527999997</v>
      </c>
      <c r="F117" s="152">
        <f t="shared" si="37"/>
        <v>21938781.766199995</v>
      </c>
      <c r="G117" s="152">
        <f t="shared" si="37"/>
        <v>22487251.310354993</v>
      </c>
      <c r="H117" s="152">
        <f t="shared" si="37"/>
        <v>23049432.593113866</v>
      </c>
      <c r="I117" s="152">
        <f t="shared" si="37"/>
        <v>23625668.40794171</v>
      </c>
      <c r="J117" s="152">
        <f t="shared" si="37"/>
        <v>24216310.11814025</v>
      </c>
      <c r="K117" s="152">
        <f t="shared" si="37"/>
        <v>24821717.871093754</v>
      </c>
      <c r="L117" s="152">
        <f t="shared" si="35"/>
        <v>25442260.817871094</v>
      </c>
      <c r="M117" s="65"/>
    </row>
    <row r="118" spans="1:13" ht="24">
      <c r="A118" s="67" t="s">
        <v>83</v>
      </c>
      <c r="B118" s="68" t="s">
        <v>434</v>
      </c>
      <c r="C118" s="154">
        <v>27000000</v>
      </c>
      <c r="D118" s="152">
        <f t="shared" si="24"/>
        <v>28080000</v>
      </c>
      <c r="E118" s="152">
        <f t="shared" si="37"/>
        <v>28781999.999999996</v>
      </c>
      <c r="F118" s="152">
        <f t="shared" si="37"/>
        <v>29501549.999999993</v>
      </c>
      <c r="G118" s="152">
        <f t="shared" si="37"/>
        <v>30239088.74999999</v>
      </c>
      <c r="H118" s="152">
        <f t="shared" si="37"/>
        <v>30995065.968749985</v>
      </c>
      <c r="I118" s="152">
        <f t="shared" si="37"/>
        <v>31769942.61796873</v>
      </c>
      <c r="J118" s="152">
        <f t="shared" si="37"/>
        <v>32564191.183417946</v>
      </c>
      <c r="K118" s="152">
        <f t="shared" si="37"/>
        <v>33378295.963003393</v>
      </c>
      <c r="L118" s="152">
        <f t="shared" si="35"/>
        <v>34212753.36207847</v>
      </c>
      <c r="M118" s="65"/>
    </row>
    <row r="119" spans="1:13" ht="24">
      <c r="A119" s="67" t="s">
        <v>84</v>
      </c>
      <c r="B119" s="68" t="s">
        <v>435</v>
      </c>
      <c r="C119" s="154">
        <v>14000000</v>
      </c>
      <c r="D119" s="152">
        <f t="shared" si="24"/>
        <v>14560000</v>
      </c>
      <c r="E119" s="152">
        <f t="shared" si="37"/>
        <v>14923999.999999998</v>
      </c>
      <c r="F119" s="152">
        <f t="shared" si="37"/>
        <v>15297099.999999996</v>
      </c>
      <c r="G119" s="152">
        <f t="shared" si="37"/>
        <v>15679527.499999994</v>
      </c>
      <c r="H119" s="152">
        <f t="shared" si="37"/>
        <v>16071515.687499993</v>
      </c>
      <c r="I119" s="152">
        <f t="shared" si="37"/>
        <v>16473303.579687491</v>
      </c>
      <c r="J119" s="152">
        <f t="shared" si="37"/>
        <v>16885136.169179678</v>
      </c>
      <c r="K119" s="152">
        <f t="shared" si="37"/>
        <v>17307264.57340917</v>
      </c>
      <c r="L119" s="152">
        <f t="shared" si="35"/>
        <v>17739946.187744398</v>
      </c>
      <c r="M119" s="65"/>
    </row>
    <row r="120" spans="1:13" ht="36">
      <c r="A120" s="67" t="s">
        <v>85</v>
      </c>
      <c r="B120" s="68" t="s">
        <v>436</v>
      </c>
      <c r="C120" s="154">
        <v>12000000</v>
      </c>
      <c r="D120" s="152">
        <f t="shared" si="24"/>
        <v>12480000</v>
      </c>
      <c r="E120" s="152">
        <f t="shared" si="37"/>
        <v>12791999.999999998</v>
      </c>
      <c r="F120" s="152">
        <f t="shared" si="37"/>
        <v>13111799.999999996</v>
      </c>
      <c r="G120" s="152">
        <f t="shared" si="37"/>
        <v>13439594.999999994</v>
      </c>
      <c r="H120" s="152">
        <f t="shared" si="37"/>
        <v>13775584.874999993</v>
      </c>
      <c r="I120" s="152">
        <f t="shared" si="37"/>
        <v>14119974.496874992</v>
      </c>
      <c r="J120" s="152">
        <f t="shared" si="37"/>
        <v>14472973.859296866</v>
      </c>
      <c r="K120" s="152">
        <f t="shared" si="37"/>
        <v>14834798.205779286</v>
      </c>
      <c r="L120" s="152">
        <f aca="true" t="shared" si="38" ref="L120:L151">+K120*1.025</f>
        <v>15205668.160923768</v>
      </c>
      <c r="M120" s="65"/>
    </row>
    <row r="121" spans="1:13" ht="24">
      <c r="A121" s="67" t="s">
        <v>86</v>
      </c>
      <c r="B121" s="68" t="s">
        <v>410</v>
      </c>
      <c r="C121" s="154">
        <v>1000</v>
      </c>
      <c r="D121" s="152">
        <f t="shared" si="24"/>
        <v>1040</v>
      </c>
      <c r="E121" s="152">
        <f t="shared" si="37"/>
        <v>1066</v>
      </c>
      <c r="F121" s="152">
        <f t="shared" si="37"/>
        <v>1092.6499999999999</v>
      </c>
      <c r="G121" s="152">
        <f t="shared" si="37"/>
        <v>1119.9662499999997</v>
      </c>
      <c r="H121" s="152">
        <f t="shared" si="37"/>
        <v>1147.9654062499997</v>
      </c>
      <c r="I121" s="152">
        <f t="shared" si="37"/>
        <v>1176.6645414062496</v>
      </c>
      <c r="J121" s="152">
        <f t="shared" si="37"/>
        <v>1206.0811549414057</v>
      </c>
      <c r="K121" s="152">
        <f t="shared" si="37"/>
        <v>1236.2331838149407</v>
      </c>
      <c r="L121" s="152">
        <f t="shared" si="38"/>
        <v>1267.1390134103142</v>
      </c>
      <c r="M121" s="65"/>
    </row>
    <row r="122" spans="1:12" ht="12">
      <c r="A122" s="64" t="s">
        <v>87</v>
      </c>
      <c r="B122" s="72" t="s">
        <v>224</v>
      </c>
      <c r="C122" s="159">
        <f>817000000-168000000</f>
        <v>649000000</v>
      </c>
      <c r="D122" s="152">
        <f t="shared" si="24"/>
        <v>674960000</v>
      </c>
      <c r="E122" s="152">
        <f t="shared" si="37"/>
        <v>691833999.9999999</v>
      </c>
      <c r="F122" s="152">
        <f t="shared" si="37"/>
        <v>709129849.9999998</v>
      </c>
      <c r="G122" s="152">
        <f t="shared" si="37"/>
        <v>726858096.2499996</v>
      </c>
      <c r="H122" s="152">
        <f t="shared" si="37"/>
        <v>745029548.6562495</v>
      </c>
      <c r="I122" s="152">
        <f t="shared" si="37"/>
        <v>763655287.3726557</v>
      </c>
      <c r="J122" s="152">
        <f t="shared" si="37"/>
        <v>782746669.556972</v>
      </c>
      <c r="K122" s="152">
        <f t="shared" si="37"/>
        <v>802315336.2958963</v>
      </c>
      <c r="L122" s="152">
        <f t="shared" si="38"/>
        <v>822373219.7032937</v>
      </c>
    </row>
    <row r="123" spans="1:13" s="66" customFormat="1" ht="12">
      <c r="A123" s="64" t="s">
        <v>225</v>
      </c>
      <c r="B123" s="58" t="s">
        <v>440</v>
      </c>
      <c r="C123" s="159">
        <f>SUM(C124:C125)</f>
        <v>70619145</v>
      </c>
      <c r="D123" s="152">
        <f t="shared" si="24"/>
        <v>73443910.8</v>
      </c>
      <c r="E123" s="152">
        <f t="shared" si="37"/>
        <v>75280008.57</v>
      </c>
      <c r="F123" s="152">
        <f t="shared" si="37"/>
        <v>77162008.78424999</v>
      </c>
      <c r="G123" s="152">
        <f t="shared" si="37"/>
        <v>79091059.00385623</v>
      </c>
      <c r="H123" s="152">
        <f t="shared" si="37"/>
        <v>81068335.47895263</v>
      </c>
      <c r="I123" s="152">
        <f t="shared" si="37"/>
        <v>83095043.86592644</v>
      </c>
      <c r="J123" s="152">
        <f t="shared" si="37"/>
        <v>85172419.9625746</v>
      </c>
      <c r="K123" s="152">
        <f t="shared" si="37"/>
        <v>87301730.46163896</v>
      </c>
      <c r="L123" s="152">
        <f t="shared" si="38"/>
        <v>89484273.72317992</v>
      </c>
      <c r="M123" s="65"/>
    </row>
    <row r="124" spans="1:13" ht="24">
      <c r="A124" s="67" t="s">
        <v>168</v>
      </c>
      <c r="B124" s="68" t="s">
        <v>441</v>
      </c>
      <c r="C124" s="154">
        <v>70618145</v>
      </c>
      <c r="D124" s="152">
        <f t="shared" si="24"/>
        <v>73442870.8</v>
      </c>
      <c r="E124" s="152">
        <f t="shared" si="37"/>
        <v>75278942.57</v>
      </c>
      <c r="F124" s="152">
        <f t="shared" si="37"/>
        <v>77160916.13424999</v>
      </c>
      <c r="G124" s="152">
        <f t="shared" si="37"/>
        <v>79089939.03760622</v>
      </c>
      <c r="H124" s="152">
        <f t="shared" si="37"/>
        <v>81067187.51354638</v>
      </c>
      <c r="I124" s="152">
        <f t="shared" si="37"/>
        <v>83093867.20138504</v>
      </c>
      <c r="J124" s="152">
        <f t="shared" si="37"/>
        <v>85171213.88141966</v>
      </c>
      <c r="K124" s="152">
        <f t="shared" si="37"/>
        <v>87300494.22845514</v>
      </c>
      <c r="L124" s="152">
        <f t="shared" si="38"/>
        <v>89483006.58416651</v>
      </c>
      <c r="M124" s="65"/>
    </row>
    <row r="125" spans="1:13" ht="24">
      <c r="A125" s="67" t="s">
        <v>169</v>
      </c>
      <c r="B125" s="68" t="s">
        <v>410</v>
      </c>
      <c r="C125" s="154">
        <v>1000</v>
      </c>
      <c r="D125" s="152">
        <f t="shared" si="24"/>
        <v>1040</v>
      </c>
      <c r="E125" s="152">
        <f t="shared" si="37"/>
        <v>1066</v>
      </c>
      <c r="F125" s="152">
        <f t="shared" si="37"/>
        <v>1092.6499999999999</v>
      </c>
      <c r="G125" s="152">
        <f t="shared" si="37"/>
        <v>1119.9662499999997</v>
      </c>
      <c r="H125" s="152">
        <f t="shared" si="37"/>
        <v>1147.9654062499997</v>
      </c>
      <c r="I125" s="152">
        <f t="shared" si="37"/>
        <v>1176.6645414062496</v>
      </c>
      <c r="J125" s="152">
        <f t="shared" si="37"/>
        <v>1206.0811549414057</v>
      </c>
      <c r="K125" s="152">
        <f t="shared" si="37"/>
        <v>1236.2331838149407</v>
      </c>
      <c r="L125" s="152">
        <f t="shared" si="38"/>
        <v>1267.1390134103142</v>
      </c>
      <c r="M125" s="65"/>
    </row>
    <row r="126" spans="1:13" s="66" customFormat="1" ht="12">
      <c r="A126" s="64" t="s">
        <v>226</v>
      </c>
      <c r="B126" s="58" t="s">
        <v>442</v>
      </c>
      <c r="C126" s="159">
        <f>SUM(C127:C129)</f>
        <v>150001000</v>
      </c>
      <c r="D126" s="152">
        <f t="shared" si="24"/>
        <v>156001040</v>
      </c>
      <c r="E126" s="152">
        <f aca="true" t="shared" si="39" ref="E126:K141">+D126*1.025</f>
        <v>159901066</v>
      </c>
      <c r="F126" s="152">
        <f t="shared" si="39"/>
        <v>163898592.64999998</v>
      </c>
      <c r="G126" s="152">
        <f t="shared" si="39"/>
        <v>167996057.46624997</v>
      </c>
      <c r="H126" s="152">
        <f t="shared" si="39"/>
        <v>172195958.9029062</v>
      </c>
      <c r="I126" s="152">
        <f t="shared" si="39"/>
        <v>176500857.87547886</v>
      </c>
      <c r="J126" s="152">
        <f t="shared" si="39"/>
        <v>180913379.32236582</v>
      </c>
      <c r="K126" s="152">
        <f t="shared" si="39"/>
        <v>185436213.80542496</v>
      </c>
      <c r="L126" s="152">
        <f t="shared" si="38"/>
        <v>190072119.15056056</v>
      </c>
      <c r="M126" s="65"/>
    </row>
    <row r="127" spans="1:13" ht="36">
      <c r="A127" s="67" t="s">
        <v>170</v>
      </c>
      <c r="B127" s="68" t="s">
        <v>443</v>
      </c>
      <c r="C127" s="154">
        <v>75000000</v>
      </c>
      <c r="D127" s="152">
        <f t="shared" si="24"/>
        <v>78000000</v>
      </c>
      <c r="E127" s="152">
        <f t="shared" si="39"/>
        <v>79950000</v>
      </c>
      <c r="F127" s="152">
        <f t="shared" si="39"/>
        <v>81948750</v>
      </c>
      <c r="G127" s="152">
        <f t="shared" si="39"/>
        <v>83997468.75</v>
      </c>
      <c r="H127" s="152">
        <f t="shared" si="39"/>
        <v>86097405.46874999</v>
      </c>
      <c r="I127" s="152">
        <f t="shared" si="39"/>
        <v>88249840.60546872</v>
      </c>
      <c r="J127" s="152">
        <f t="shared" si="39"/>
        <v>90456086.62060542</v>
      </c>
      <c r="K127" s="152">
        <f t="shared" si="39"/>
        <v>92717488.78612055</v>
      </c>
      <c r="L127" s="152">
        <f t="shared" si="38"/>
        <v>95035426.00577356</v>
      </c>
      <c r="M127" s="65"/>
    </row>
    <row r="128" spans="1:13" ht="24">
      <c r="A128" s="67" t="s">
        <v>171</v>
      </c>
      <c r="B128" s="68" t="s">
        <v>444</v>
      </c>
      <c r="C128" s="154">
        <v>75000000</v>
      </c>
      <c r="D128" s="152">
        <f t="shared" si="24"/>
        <v>78000000</v>
      </c>
      <c r="E128" s="152">
        <f t="shared" si="39"/>
        <v>79950000</v>
      </c>
      <c r="F128" s="152">
        <f t="shared" si="39"/>
        <v>81948750</v>
      </c>
      <c r="G128" s="152">
        <f t="shared" si="39"/>
        <v>83997468.75</v>
      </c>
      <c r="H128" s="152">
        <f t="shared" si="39"/>
        <v>86097405.46874999</v>
      </c>
      <c r="I128" s="152">
        <f t="shared" si="39"/>
        <v>88249840.60546872</v>
      </c>
      <c r="J128" s="152">
        <f t="shared" si="39"/>
        <v>90456086.62060542</v>
      </c>
      <c r="K128" s="152">
        <f t="shared" si="39"/>
        <v>92717488.78612055</v>
      </c>
      <c r="L128" s="152">
        <f t="shared" si="38"/>
        <v>95035426.00577356</v>
      </c>
      <c r="M128" s="65"/>
    </row>
    <row r="129" spans="1:13" ht="24">
      <c r="A129" s="67" t="s">
        <v>172</v>
      </c>
      <c r="B129" s="68" t="s">
        <v>410</v>
      </c>
      <c r="C129" s="154">
        <v>1000</v>
      </c>
      <c r="D129" s="152">
        <f t="shared" si="24"/>
        <v>1040</v>
      </c>
      <c r="E129" s="152">
        <f t="shared" si="39"/>
        <v>1066</v>
      </c>
      <c r="F129" s="152">
        <f t="shared" si="39"/>
        <v>1092.6499999999999</v>
      </c>
      <c r="G129" s="152">
        <f t="shared" si="39"/>
        <v>1119.9662499999997</v>
      </c>
      <c r="H129" s="152">
        <f t="shared" si="39"/>
        <v>1147.9654062499997</v>
      </c>
      <c r="I129" s="152">
        <f t="shared" si="39"/>
        <v>1176.6645414062496</v>
      </c>
      <c r="J129" s="152">
        <f t="shared" si="39"/>
        <v>1206.0811549414057</v>
      </c>
      <c r="K129" s="152">
        <f t="shared" si="39"/>
        <v>1236.2331838149407</v>
      </c>
      <c r="L129" s="152">
        <f t="shared" si="38"/>
        <v>1267.1390134103142</v>
      </c>
      <c r="M129" s="65"/>
    </row>
    <row r="130" spans="1:13" s="66" customFormat="1" ht="12">
      <c r="A130" s="64" t="s">
        <v>88</v>
      </c>
      <c r="B130" s="58" t="s">
        <v>445</v>
      </c>
      <c r="C130" s="159">
        <f>SUM(C131:C133)</f>
        <v>230001000</v>
      </c>
      <c r="D130" s="152">
        <f t="shared" si="24"/>
        <v>239201040</v>
      </c>
      <c r="E130" s="152">
        <f t="shared" si="39"/>
        <v>245181065.99999997</v>
      </c>
      <c r="F130" s="152">
        <f t="shared" si="39"/>
        <v>251310592.64999995</v>
      </c>
      <c r="G130" s="152">
        <f t="shared" si="39"/>
        <v>257593357.4662499</v>
      </c>
      <c r="H130" s="152">
        <f t="shared" si="39"/>
        <v>264033191.40290615</v>
      </c>
      <c r="I130" s="152">
        <f t="shared" si="39"/>
        <v>270634021.1879788</v>
      </c>
      <c r="J130" s="152">
        <f t="shared" si="39"/>
        <v>277399871.71767825</v>
      </c>
      <c r="K130" s="152">
        <f t="shared" si="39"/>
        <v>284334868.5106202</v>
      </c>
      <c r="L130" s="152">
        <f t="shared" si="38"/>
        <v>291443240.22338563</v>
      </c>
      <c r="M130" s="65"/>
    </row>
    <row r="131" spans="1:13" ht="12">
      <c r="A131" s="67" t="s">
        <v>173</v>
      </c>
      <c r="B131" s="68" t="s">
        <v>446</v>
      </c>
      <c r="C131" s="154">
        <v>140000000</v>
      </c>
      <c r="D131" s="152">
        <f t="shared" si="24"/>
        <v>145600000</v>
      </c>
      <c r="E131" s="152">
        <f t="shared" si="39"/>
        <v>149240000</v>
      </c>
      <c r="F131" s="152">
        <f t="shared" si="39"/>
        <v>152971000</v>
      </c>
      <c r="G131" s="152">
        <f t="shared" si="39"/>
        <v>156795275</v>
      </c>
      <c r="H131" s="152">
        <f t="shared" si="39"/>
        <v>160715156.875</v>
      </c>
      <c r="I131" s="152">
        <f t="shared" si="39"/>
        <v>164733035.796875</v>
      </c>
      <c r="J131" s="152">
        <f t="shared" si="39"/>
        <v>168851361.69179687</v>
      </c>
      <c r="K131" s="152">
        <f t="shared" si="39"/>
        <v>173072645.7340918</v>
      </c>
      <c r="L131" s="152">
        <f t="shared" si="38"/>
        <v>177399461.87744406</v>
      </c>
      <c r="M131" s="65"/>
    </row>
    <row r="132" spans="1:13" ht="12">
      <c r="A132" s="67" t="s">
        <v>174</v>
      </c>
      <c r="B132" s="68" t="s">
        <v>447</v>
      </c>
      <c r="C132" s="154">
        <v>90000000</v>
      </c>
      <c r="D132" s="152">
        <f t="shared" si="24"/>
        <v>93600000</v>
      </c>
      <c r="E132" s="152">
        <f t="shared" si="39"/>
        <v>95939999.99999999</v>
      </c>
      <c r="F132" s="152">
        <f t="shared" si="39"/>
        <v>98338499.99999997</v>
      </c>
      <c r="G132" s="152">
        <f t="shared" si="39"/>
        <v>100796962.49999996</v>
      </c>
      <c r="H132" s="152">
        <f t="shared" si="39"/>
        <v>103316886.56249994</v>
      </c>
      <c r="I132" s="152">
        <f t="shared" si="39"/>
        <v>105899808.72656243</v>
      </c>
      <c r="J132" s="152">
        <f t="shared" si="39"/>
        <v>108547303.94472648</v>
      </c>
      <c r="K132" s="152">
        <f t="shared" si="39"/>
        <v>111260986.54334463</v>
      </c>
      <c r="L132" s="152">
        <f t="shared" si="38"/>
        <v>114042511.20692824</v>
      </c>
      <c r="M132" s="65"/>
    </row>
    <row r="133" spans="1:13" ht="24">
      <c r="A133" s="67" t="s">
        <v>175</v>
      </c>
      <c r="B133" s="68" t="s">
        <v>410</v>
      </c>
      <c r="C133" s="154">
        <v>1000</v>
      </c>
      <c r="D133" s="152">
        <f t="shared" si="24"/>
        <v>1040</v>
      </c>
      <c r="E133" s="152">
        <f t="shared" si="39"/>
        <v>1066</v>
      </c>
      <c r="F133" s="152">
        <f t="shared" si="39"/>
        <v>1092.6499999999999</v>
      </c>
      <c r="G133" s="152">
        <f t="shared" si="39"/>
        <v>1119.9662499999997</v>
      </c>
      <c r="H133" s="152">
        <f t="shared" si="39"/>
        <v>1147.9654062499997</v>
      </c>
      <c r="I133" s="152">
        <f t="shared" si="39"/>
        <v>1176.6645414062496</v>
      </c>
      <c r="J133" s="152">
        <f t="shared" si="39"/>
        <v>1206.0811549414057</v>
      </c>
      <c r="K133" s="152">
        <f t="shared" si="39"/>
        <v>1236.2331838149407</v>
      </c>
      <c r="L133" s="152">
        <f t="shared" si="38"/>
        <v>1267.1390134103142</v>
      </c>
      <c r="M133" s="65"/>
    </row>
    <row r="134" spans="1:13" s="66" customFormat="1" ht="12">
      <c r="A134" s="64" t="s">
        <v>227</v>
      </c>
      <c r="B134" s="58" t="s">
        <v>448</v>
      </c>
      <c r="C134" s="159">
        <f>SUM(C135:C136)</f>
        <v>15001000</v>
      </c>
      <c r="D134" s="152">
        <f t="shared" si="24"/>
        <v>15601040</v>
      </c>
      <c r="E134" s="152">
        <f t="shared" si="39"/>
        <v>15991065.999999998</v>
      </c>
      <c r="F134" s="152">
        <f t="shared" si="39"/>
        <v>16390842.649999997</v>
      </c>
      <c r="G134" s="152">
        <f t="shared" si="39"/>
        <v>16800613.716249995</v>
      </c>
      <c r="H134" s="152">
        <f t="shared" si="39"/>
        <v>17220629.059156243</v>
      </c>
      <c r="I134" s="152">
        <f t="shared" si="39"/>
        <v>17651144.785635147</v>
      </c>
      <c r="J134" s="152">
        <f t="shared" si="39"/>
        <v>18092423.405276023</v>
      </c>
      <c r="K134" s="152">
        <f t="shared" si="39"/>
        <v>18544733.99040792</v>
      </c>
      <c r="L134" s="152">
        <f t="shared" si="38"/>
        <v>19008352.34016812</v>
      </c>
      <c r="M134" s="65"/>
    </row>
    <row r="135" spans="1:13" ht="12">
      <c r="A135" s="67" t="s">
        <v>176</v>
      </c>
      <c r="B135" s="68" t="s">
        <v>449</v>
      </c>
      <c r="C135" s="154">
        <v>15000000</v>
      </c>
      <c r="D135" s="152">
        <f t="shared" si="24"/>
        <v>15600000</v>
      </c>
      <c r="E135" s="152">
        <f t="shared" si="39"/>
        <v>15989999.999999998</v>
      </c>
      <c r="F135" s="152">
        <f t="shared" si="39"/>
        <v>16389749.999999996</v>
      </c>
      <c r="G135" s="152">
        <f t="shared" si="39"/>
        <v>16799493.749999996</v>
      </c>
      <c r="H135" s="152">
        <f t="shared" si="39"/>
        <v>17219481.093749996</v>
      </c>
      <c r="I135" s="152">
        <f t="shared" si="39"/>
        <v>17649968.121093746</v>
      </c>
      <c r="J135" s="152">
        <f t="shared" si="39"/>
        <v>18091217.324121088</v>
      </c>
      <c r="K135" s="152">
        <f t="shared" si="39"/>
        <v>18543497.757224113</v>
      </c>
      <c r="L135" s="152">
        <f t="shared" si="38"/>
        <v>19007085.201154713</v>
      </c>
      <c r="M135" s="65"/>
    </row>
    <row r="136" spans="1:13" ht="24">
      <c r="A136" s="67" t="s">
        <v>177</v>
      </c>
      <c r="B136" s="68" t="s">
        <v>410</v>
      </c>
      <c r="C136" s="154">
        <v>1000</v>
      </c>
      <c r="D136" s="152">
        <f t="shared" si="24"/>
        <v>1040</v>
      </c>
      <c r="E136" s="152">
        <f t="shared" si="39"/>
        <v>1066</v>
      </c>
      <c r="F136" s="152">
        <f t="shared" si="39"/>
        <v>1092.6499999999999</v>
      </c>
      <c r="G136" s="152">
        <f t="shared" si="39"/>
        <v>1119.9662499999997</v>
      </c>
      <c r="H136" s="152">
        <f t="shared" si="39"/>
        <v>1147.9654062499997</v>
      </c>
      <c r="I136" s="152">
        <f t="shared" si="39"/>
        <v>1176.6645414062496</v>
      </c>
      <c r="J136" s="152">
        <f t="shared" si="39"/>
        <v>1206.0811549414057</v>
      </c>
      <c r="K136" s="152">
        <f t="shared" si="39"/>
        <v>1236.2331838149407</v>
      </c>
      <c r="L136" s="152">
        <f t="shared" si="38"/>
        <v>1267.1390134103142</v>
      </c>
      <c r="M136" s="65"/>
    </row>
    <row r="137" spans="1:13" s="66" customFormat="1" ht="12">
      <c r="A137" s="64" t="s">
        <v>228</v>
      </c>
      <c r="B137" s="58" t="s">
        <v>450</v>
      </c>
      <c r="C137" s="159">
        <f>SUM(C138:C139)</f>
        <v>45001000</v>
      </c>
      <c r="D137" s="152">
        <f t="shared" si="24"/>
        <v>46801040</v>
      </c>
      <c r="E137" s="152">
        <f t="shared" si="39"/>
        <v>47971065.99999999</v>
      </c>
      <c r="F137" s="152">
        <f t="shared" si="39"/>
        <v>49170342.64999999</v>
      </c>
      <c r="G137" s="152">
        <f t="shared" si="39"/>
        <v>50399601.21624999</v>
      </c>
      <c r="H137" s="152">
        <f t="shared" si="39"/>
        <v>51659591.24665623</v>
      </c>
      <c r="I137" s="152">
        <f t="shared" si="39"/>
        <v>52951081.027822636</v>
      </c>
      <c r="J137" s="152">
        <f t="shared" si="39"/>
        <v>54274858.0535182</v>
      </c>
      <c r="K137" s="152">
        <f t="shared" si="39"/>
        <v>55631729.50485615</v>
      </c>
      <c r="L137" s="152">
        <f t="shared" si="38"/>
        <v>57022522.74247754</v>
      </c>
      <c r="M137" s="65"/>
    </row>
    <row r="138" spans="1:13" ht="12">
      <c r="A138" s="67" t="s">
        <v>178</v>
      </c>
      <c r="B138" s="68" t="s">
        <v>451</v>
      </c>
      <c r="C138" s="154">
        <v>45000000</v>
      </c>
      <c r="D138" s="152">
        <f t="shared" si="24"/>
        <v>46800000</v>
      </c>
      <c r="E138" s="152">
        <f t="shared" si="39"/>
        <v>47969999.99999999</v>
      </c>
      <c r="F138" s="152">
        <f t="shared" si="39"/>
        <v>49169249.999999985</v>
      </c>
      <c r="G138" s="152">
        <f t="shared" si="39"/>
        <v>50398481.24999998</v>
      </c>
      <c r="H138" s="152">
        <f t="shared" si="39"/>
        <v>51658443.28124997</v>
      </c>
      <c r="I138" s="152">
        <f t="shared" si="39"/>
        <v>52949904.36328121</v>
      </c>
      <c r="J138" s="152">
        <f t="shared" si="39"/>
        <v>54273651.97236324</v>
      </c>
      <c r="K138" s="152">
        <f t="shared" si="39"/>
        <v>55630493.271672316</v>
      </c>
      <c r="L138" s="152">
        <f t="shared" si="38"/>
        <v>57021255.60346412</v>
      </c>
      <c r="M138" s="65"/>
    </row>
    <row r="139" spans="1:13" ht="24">
      <c r="A139" s="67" t="s">
        <v>179</v>
      </c>
      <c r="B139" s="68" t="s">
        <v>410</v>
      </c>
      <c r="C139" s="154">
        <v>1000</v>
      </c>
      <c r="D139" s="152">
        <f t="shared" si="24"/>
        <v>1040</v>
      </c>
      <c r="E139" s="152">
        <f t="shared" si="39"/>
        <v>1066</v>
      </c>
      <c r="F139" s="152">
        <f t="shared" si="39"/>
        <v>1092.6499999999999</v>
      </c>
      <c r="G139" s="152">
        <f t="shared" si="39"/>
        <v>1119.9662499999997</v>
      </c>
      <c r="H139" s="152">
        <f t="shared" si="39"/>
        <v>1147.9654062499997</v>
      </c>
      <c r="I139" s="152">
        <f t="shared" si="39"/>
        <v>1176.6645414062496</v>
      </c>
      <c r="J139" s="152">
        <f t="shared" si="39"/>
        <v>1206.0811549414057</v>
      </c>
      <c r="K139" s="152">
        <f t="shared" si="39"/>
        <v>1236.2331838149407</v>
      </c>
      <c r="L139" s="152">
        <f t="shared" si="38"/>
        <v>1267.1390134103142</v>
      </c>
      <c r="M139" s="65"/>
    </row>
    <row r="140" spans="1:13" s="66" customFormat="1" ht="12">
      <c r="A140" s="64" t="s">
        <v>229</v>
      </c>
      <c r="B140" s="58" t="s">
        <v>452</v>
      </c>
      <c r="C140" s="159">
        <f>SUM(C141:C142)</f>
        <v>20001000</v>
      </c>
      <c r="D140" s="152">
        <f t="shared" si="24"/>
        <v>20801040</v>
      </c>
      <c r="E140" s="152">
        <f t="shared" si="39"/>
        <v>21321066</v>
      </c>
      <c r="F140" s="152">
        <f t="shared" si="39"/>
        <v>21854092.65</v>
      </c>
      <c r="G140" s="152">
        <f t="shared" si="39"/>
        <v>22400444.966249995</v>
      </c>
      <c r="H140" s="152">
        <f t="shared" si="39"/>
        <v>22960456.090406243</v>
      </c>
      <c r="I140" s="152">
        <f t="shared" si="39"/>
        <v>23534467.492666397</v>
      </c>
      <c r="J140" s="152">
        <f t="shared" si="39"/>
        <v>24122829.179983053</v>
      </c>
      <c r="K140" s="152">
        <f t="shared" si="39"/>
        <v>24725899.909482628</v>
      </c>
      <c r="L140" s="152">
        <f t="shared" si="38"/>
        <v>25344047.407219693</v>
      </c>
      <c r="M140" s="65"/>
    </row>
    <row r="141" spans="1:13" ht="36">
      <c r="A141" s="67" t="s">
        <v>180</v>
      </c>
      <c r="B141" s="68" t="s">
        <v>453</v>
      </c>
      <c r="C141" s="154">
        <v>20000000</v>
      </c>
      <c r="D141" s="152">
        <f t="shared" si="24"/>
        <v>20800000</v>
      </c>
      <c r="E141" s="152">
        <f t="shared" si="39"/>
        <v>21320000</v>
      </c>
      <c r="F141" s="152">
        <f t="shared" si="39"/>
        <v>21852999.999999996</v>
      </c>
      <c r="G141" s="152">
        <f t="shared" si="39"/>
        <v>22399324.999999993</v>
      </c>
      <c r="H141" s="152">
        <f t="shared" si="39"/>
        <v>22959308.12499999</v>
      </c>
      <c r="I141" s="152">
        <f t="shared" si="39"/>
        <v>23533290.828124985</v>
      </c>
      <c r="J141" s="152">
        <f t="shared" si="39"/>
        <v>24121623.098828107</v>
      </c>
      <c r="K141" s="152">
        <f t="shared" si="39"/>
        <v>24724663.67629881</v>
      </c>
      <c r="L141" s="152">
        <f t="shared" si="38"/>
        <v>25342780.268206276</v>
      </c>
      <c r="M141" s="65"/>
    </row>
    <row r="142" spans="1:13" ht="24">
      <c r="A142" s="67" t="s">
        <v>181</v>
      </c>
      <c r="B142" s="68" t="s">
        <v>410</v>
      </c>
      <c r="C142" s="154">
        <v>1000</v>
      </c>
      <c r="D142" s="152">
        <f aca="true" t="shared" si="40" ref="D142:D205">+C142*1.04</f>
        <v>1040</v>
      </c>
      <c r="E142" s="152">
        <f aca="true" t="shared" si="41" ref="E142:K157">+D142*1.025</f>
        <v>1066</v>
      </c>
      <c r="F142" s="152">
        <f t="shared" si="41"/>
        <v>1092.6499999999999</v>
      </c>
      <c r="G142" s="152">
        <f t="shared" si="41"/>
        <v>1119.9662499999997</v>
      </c>
      <c r="H142" s="152">
        <f t="shared" si="41"/>
        <v>1147.9654062499997</v>
      </c>
      <c r="I142" s="152">
        <f t="shared" si="41"/>
        <v>1176.6645414062496</v>
      </c>
      <c r="J142" s="152">
        <f t="shared" si="41"/>
        <v>1206.0811549414057</v>
      </c>
      <c r="K142" s="152">
        <f t="shared" si="41"/>
        <v>1236.2331838149407</v>
      </c>
      <c r="L142" s="152">
        <f t="shared" si="38"/>
        <v>1267.1390134103142</v>
      </c>
      <c r="M142" s="65"/>
    </row>
    <row r="143" spans="1:13" s="66" customFormat="1" ht="12">
      <c r="A143" s="64" t="s">
        <v>230</v>
      </c>
      <c r="B143" s="58" t="s">
        <v>454</v>
      </c>
      <c r="C143" s="159">
        <f>SUM(C144:C148)</f>
        <v>122501000</v>
      </c>
      <c r="D143" s="152">
        <f t="shared" si="40"/>
        <v>127401040</v>
      </c>
      <c r="E143" s="152">
        <f t="shared" si="41"/>
        <v>130586065.99999999</v>
      </c>
      <c r="F143" s="152">
        <f t="shared" si="41"/>
        <v>133850717.64999998</v>
      </c>
      <c r="G143" s="152">
        <f t="shared" si="41"/>
        <v>137196985.59124997</v>
      </c>
      <c r="H143" s="152">
        <f t="shared" si="41"/>
        <v>140626910.2310312</v>
      </c>
      <c r="I143" s="152">
        <f t="shared" si="41"/>
        <v>144142582.986807</v>
      </c>
      <c r="J143" s="152">
        <f t="shared" si="41"/>
        <v>147746147.56147715</v>
      </c>
      <c r="K143" s="152">
        <f t="shared" si="41"/>
        <v>151439801.25051406</v>
      </c>
      <c r="L143" s="152">
        <f t="shared" si="38"/>
        <v>155225796.2817769</v>
      </c>
      <c r="M143" s="65"/>
    </row>
    <row r="144" spans="1:13" ht="12">
      <c r="A144" s="67" t="s">
        <v>182</v>
      </c>
      <c r="B144" s="68" t="s">
        <v>455</v>
      </c>
      <c r="C144" s="154">
        <v>15000000</v>
      </c>
      <c r="D144" s="152">
        <f t="shared" si="40"/>
        <v>15600000</v>
      </c>
      <c r="E144" s="152">
        <f t="shared" si="41"/>
        <v>15989999.999999998</v>
      </c>
      <c r="F144" s="152">
        <f t="shared" si="41"/>
        <v>16389749.999999996</v>
      </c>
      <c r="G144" s="152">
        <f t="shared" si="41"/>
        <v>16799493.749999996</v>
      </c>
      <c r="H144" s="152">
        <f t="shared" si="41"/>
        <v>17219481.093749996</v>
      </c>
      <c r="I144" s="152">
        <f t="shared" si="41"/>
        <v>17649968.121093746</v>
      </c>
      <c r="J144" s="152">
        <f t="shared" si="41"/>
        <v>18091217.324121088</v>
      </c>
      <c r="K144" s="152">
        <f t="shared" si="41"/>
        <v>18543497.757224113</v>
      </c>
      <c r="L144" s="152">
        <f t="shared" si="38"/>
        <v>19007085.201154713</v>
      </c>
      <c r="M144" s="65"/>
    </row>
    <row r="145" spans="1:13" ht="24">
      <c r="A145" s="67" t="s">
        <v>183</v>
      </c>
      <c r="B145" s="68" t="s">
        <v>456</v>
      </c>
      <c r="C145" s="154">
        <v>15000000</v>
      </c>
      <c r="D145" s="152">
        <f t="shared" si="40"/>
        <v>15600000</v>
      </c>
      <c r="E145" s="152">
        <f t="shared" si="41"/>
        <v>15989999.999999998</v>
      </c>
      <c r="F145" s="152">
        <f t="shared" si="41"/>
        <v>16389749.999999996</v>
      </c>
      <c r="G145" s="152">
        <f t="shared" si="41"/>
        <v>16799493.749999996</v>
      </c>
      <c r="H145" s="152">
        <f t="shared" si="41"/>
        <v>17219481.093749996</v>
      </c>
      <c r="I145" s="152">
        <f t="shared" si="41"/>
        <v>17649968.121093746</v>
      </c>
      <c r="J145" s="152">
        <f t="shared" si="41"/>
        <v>18091217.324121088</v>
      </c>
      <c r="K145" s="152">
        <f t="shared" si="41"/>
        <v>18543497.757224113</v>
      </c>
      <c r="L145" s="152">
        <f t="shared" si="38"/>
        <v>19007085.201154713</v>
      </c>
      <c r="M145" s="65"/>
    </row>
    <row r="146" spans="1:13" ht="12">
      <c r="A146" s="67" t="s">
        <v>184</v>
      </c>
      <c r="B146" s="71" t="s">
        <v>94</v>
      </c>
      <c r="C146" s="154">
        <v>50000000</v>
      </c>
      <c r="D146" s="152">
        <f t="shared" si="40"/>
        <v>52000000</v>
      </c>
      <c r="E146" s="152">
        <f t="shared" si="41"/>
        <v>53299999.99999999</v>
      </c>
      <c r="F146" s="152">
        <f t="shared" si="41"/>
        <v>54632499.999999985</v>
      </c>
      <c r="G146" s="152">
        <f t="shared" si="41"/>
        <v>55998312.49999998</v>
      </c>
      <c r="H146" s="152">
        <f t="shared" si="41"/>
        <v>57398270.31249997</v>
      </c>
      <c r="I146" s="152">
        <f t="shared" si="41"/>
        <v>58833227.07031246</v>
      </c>
      <c r="J146" s="152">
        <f t="shared" si="41"/>
        <v>60304057.74707027</v>
      </c>
      <c r="K146" s="152">
        <f t="shared" si="41"/>
        <v>61811659.19074702</v>
      </c>
      <c r="L146" s="152">
        <f t="shared" si="38"/>
        <v>63356950.67051569</v>
      </c>
      <c r="M146" s="65"/>
    </row>
    <row r="147" spans="1:13" ht="36">
      <c r="A147" s="67" t="s">
        <v>185</v>
      </c>
      <c r="B147" s="71" t="s">
        <v>95</v>
      </c>
      <c r="C147" s="154">
        <v>42500000</v>
      </c>
      <c r="D147" s="152">
        <f t="shared" si="40"/>
        <v>44200000</v>
      </c>
      <c r="E147" s="152">
        <f t="shared" si="41"/>
        <v>45304999.99999999</v>
      </c>
      <c r="F147" s="152">
        <f t="shared" si="41"/>
        <v>46437624.999999985</v>
      </c>
      <c r="G147" s="152">
        <f t="shared" si="41"/>
        <v>47598565.62499998</v>
      </c>
      <c r="H147" s="152">
        <f t="shared" si="41"/>
        <v>48788529.76562497</v>
      </c>
      <c r="I147" s="152">
        <f t="shared" si="41"/>
        <v>50008243.00976559</v>
      </c>
      <c r="J147" s="152">
        <f t="shared" si="41"/>
        <v>51258449.085009724</v>
      </c>
      <c r="K147" s="152">
        <f t="shared" si="41"/>
        <v>52539910.31213496</v>
      </c>
      <c r="L147" s="152">
        <f t="shared" si="38"/>
        <v>53853408.069938324</v>
      </c>
      <c r="M147" s="65"/>
    </row>
    <row r="148" spans="1:13" ht="24">
      <c r="A148" s="67" t="s">
        <v>186</v>
      </c>
      <c r="B148" s="68" t="s">
        <v>410</v>
      </c>
      <c r="C148" s="154">
        <v>1000</v>
      </c>
      <c r="D148" s="152">
        <f t="shared" si="40"/>
        <v>1040</v>
      </c>
      <c r="E148" s="152">
        <f t="shared" si="41"/>
        <v>1066</v>
      </c>
      <c r="F148" s="152">
        <f t="shared" si="41"/>
        <v>1092.6499999999999</v>
      </c>
      <c r="G148" s="152">
        <f t="shared" si="41"/>
        <v>1119.9662499999997</v>
      </c>
      <c r="H148" s="152">
        <f t="shared" si="41"/>
        <v>1147.9654062499997</v>
      </c>
      <c r="I148" s="152">
        <f t="shared" si="41"/>
        <v>1176.6645414062496</v>
      </c>
      <c r="J148" s="152">
        <f t="shared" si="41"/>
        <v>1206.0811549414057</v>
      </c>
      <c r="K148" s="152">
        <f t="shared" si="41"/>
        <v>1236.2331838149407</v>
      </c>
      <c r="L148" s="152">
        <f t="shared" si="38"/>
        <v>1267.1390134103142</v>
      </c>
      <c r="M148" s="65"/>
    </row>
    <row r="149" spans="1:13" s="66" customFormat="1" ht="12">
      <c r="A149" s="64" t="s">
        <v>231</v>
      </c>
      <c r="B149" s="58" t="s">
        <v>457</v>
      </c>
      <c r="C149" s="159">
        <f>+C150</f>
        <v>20000000</v>
      </c>
      <c r="D149" s="152">
        <f t="shared" si="40"/>
        <v>20800000</v>
      </c>
      <c r="E149" s="152">
        <f t="shared" si="41"/>
        <v>21320000</v>
      </c>
      <c r="F149" s="152">
        <f t="shared" si="41"/>
        <v>21852999.999999996</v>
      </c>
      <c r="G149" s="152">
        <f t="shared" si="41"/>
        <v>22399324.999999993</v>
      </c>
      <c r="H149" s="152">
        <f t="shared" si="41"/>
        <v>22959308.12499999</v>
      </c>
      <c r="I149" s="152">
        <f t="shared" si="41"/>
        <v>23533290.828124985</v>
      </c>
      <c r="J149" s="152">
        <f t="shared" si="41"/>
        <v>24121623.098828107</v>
      </c>
      <c r="K149" s="152">
        <f t="shared" si="41"/>
        <v>24724663.67629881</v>
      </c>
      <c r="L149" s="152">
        <f t="shared" si="38"/>
        <v>25342780.268206276</v>
      </c>
      <c r="M149" s="65"/>
    </row>
    <row r="150" spans="1:13" ht="24">
      <c r="A150" s="67" t="s">
        <v>187</v>
      </c>
      <c r="B150" s="68" t="s">
        <v>458</v>
      </c>
      <c r="C150" s="154">
        <v>20000000</v>
      </c>
      <c r="D150" s="152">
        <f t="shared" si="40"/>
        <v>20800000</v>
      </c>
      <c r="E150" s="152">
        <f t="shared" si="41"/>
        <v>21320000</v>
      </c>
      <c r="F150" s="152">
        <f t="shared" si="41"/>
        <v>21852999.999999996</v>
      </c>
      <c r="G150" s="152">
        <f t="shared" si="41"/>
        <v>22399324.999999993</v>
      </c>
      <c r="H150" s="152">
        <f t="shared" si="41"/>
        <v>22959308.12499999</v>
      </c>
      <c r="I150" s="152">
        <f t="shared" si="41"/>
        <v>23533290.828124985</v>
      </c>
      <c r="J150" s="152">
        <f t="shared" si="41"/>
        <v>24121623.098828107</v>
      </c>
      <c r="K150" s="152">
        <f t="shared" si="41"/>
        <v>24724663.67629881</v>
      </c>
      <c r="L150" s="152">
        <f t="shared" si="38"/>
        <v>25342780.268206276</v>
      </c>
      <c r="M150" s="65"/>
    </row>
    <row r="151" spans="1:13" s="66" customFormat="1" ht="12">
      <c r="A151" s="64" t="s">
        <v>232</v>
      </c>
      <c r="B151" s="58" t="s">
        <v>459</v>
      </c>
      <c r="C151" s="159">
        <f>SUM(C152:C155)</f>
        <v>60001000</v>
      </c>
      <c r="D151" s="152">
        <f t="shared" si="40"/>
        <v>62401040</v>
      </c>
      <c r="E151" s="152">
        <f t="shared" si="41"/>
        <v>63961065.99999999</v>
      </c>
      <c r="F151" s="152">
        <f t="shared" si="41"/>
        <v>65560092.64999998</v>
      </c>
      <c r="G151" s="152">
        <f t="shared" si="41"/>
        <v>67199094.96624997</v>
      </c>
      <c r="H151" s="152">
        <f t="shared" si="41"/>
        <v>68879072.34040621</v>
      </c>
      <c r="I151" s="152">
        <f t="shared" si="41"/>
        <v>70601049.14891636</v>
      </c>
      <c r="J151" s="152">
        <f t="shared" si="41"/>
        <v>72366075.37763926</v>
      </c>
      <c r="K151" s="152">
        <f t="shared" si="41"/>
        <v>74175227.26208024</v>
      </c>
      <c r="L151" s="152">
        <f t="shared" si="38"/>
        <v>76029607.94363223</v>
      </c>
      <c r="M151" s="65"/>
    </row>
    <row r="152" spans="1:13" ht="36">
      <c r="A152" s="67" t="s">
        <v>188</v>
      </c>
      <c r="B152" s="68" t="s">
        <v>460</v>
      </c>
      <c r="C152" s="154">
        <v>20000000</v>
      </c>
      <c r="D152" s="152">
        <f t="shared" si="40"/>
        <v>20800000</v>
      </c>
      <c r="E152" s="152">
        <f t="shared" si="41"/>
        <v>21320000</v>
      </c>
      <c r="F152" s="152">
        <f t="shared" si="41"/>
        <v>21852999.999999996</v>
      </c>
      <c r="G152" s="152">
        <f t="shared" si="41"/>
        <v>22399324.999999993</v>
      </c>
      <c r="H152" s="152">
        <f t="shared" si="41"/>
        <v>22959308.12499999</v>
      </c>
      <c r="I152" s="152">
        <f t="shared" si="41"/>
        <v>23533290.828124985</v>
      </c>
      <c r="J152" s="152">
        <f t="shared" si="41"/>
        <v>24121623.098828107</v>
      </c>
      <c r="K152" s="152">
        <f t="shared" si="41"/>
        <v>24724663.67629881</v>
      </c>
      <c r="L152" s="152">
        <f aca="true" t="shared" si="42" ref="L152:L163">+K152*1.025</f>
        <v>25342780.268206276</v>
      </c>
      <c r="M152" s="65"/>
    </row>
    <row r="153" spans="1:13" ht="12">
      <c r="A153" s="67" t="s">
        <v>189</v>
      </c>
      <c r="B153" s="68" t="s">
        <v>159</v>
      </c>
      <c r="C153" s="154">
        <v>20000000</v>
      </c>
      <c r="D153" s="152">
        <f t="shared" si="40"/>
        <v>20800000</v>
      </c>
      <c r="E153" s="152">
        <f t="shared" si="41"/>
        <v>21320000</v>
      </c>
      <c r="F153" s="152">
        <f t="shared" si="41"/>
        <v>21852999.999999996</v>
      </c>
      <c r="G153" s="152">
        <f t="shared" si="41"/>
        <v>22399324.999999993</v>
      </c>
      <c r="H153" s="152">
        <f t="shared" si="41"/>
        <v>22959308.12499999</v>
      </c>
      <c r="I153" s="152">
        <f t="shared" si="41"/>
        <v>23533290.828124985</v>
      </c>
      <c r="J153" s="152">
        <f t="shared" si="41"/>
        <v>24121623.098828107</v>
      </c>
      <c r="K153" s="152">
        <f t="shared" si="41"/>
        <v>24724663.67629881</v>
      </c>
      <c r="L153" s="152">
        <f t="shared" si="42"/>
        <v>25342780.268206276</v>
      </c>
      <c r="M153" s="65"/>
    </row>
    <row r="154" spans="1:13" ht="12">
      <c r="A154" s="67" t="s">
        <v>190</v>
      </c>
      <c r="B154" s="68" t="s">
        <v>160</v>
      </c>
      <c r="C154" s="154">
        <v>20000000</v>
      </c>
      <c r="D154" s="152">
        <f t="shared" si="40"/>
        <v>20800000</v>
      </c>
      <c r="E154" s="152">
        <f t="shared" si="41"/>
        <v>21320000</v>
      </c>
      <c r="F154" s="152">
        <f t="shared" si="41"/>
        <v>21852999.999999996</v>
      </c>
      <c r="G154" s="152">
        <f t="shared" si="41"/>
        <v>22399324.999999993</v>
      </c>
      <c r="H154" s="152">
        <f t="shared" si="41"/>
        <v>22959308.12499999</v>
      </c>
      <c r="I154" s="152">
        <f t="shared" si="41"/>
        <v>23533290.828124985</v>
      </c>
      <c r="J154" s="152">
        <f t="shared" si="41"/>
        <v>24121623.098828107</v>
      </c>
      <c r="K154" s="152">
        <f t="shared" si="41"/>
        <v>24724663.67629881</v>
      </c>
      <c r="L154" s="152">
        <f t="shared" si="42"/>
        <v>25342780.268206276</v>
      </c>
      <c r="M154" s="65"/>
    </row>
    <row r="155" spans="1:13" ht="24">
      <c r="A155" s="67" t="s">
        <v>191</v>
      </c>
      <c r="B155" s="68" t="s">
        <v>410</v>
      </c>
      <c r="C155" s="154">
        <v>1000</v>
      </c>
      <c r="D155" s="152">
        <f t="shared" si="40"/>
        <v>1040</v>
      </c>
      <c r="E155" s="152">
        <f t="shared" si="41"/>
        <v>1066</v>
      </c>
      <c r="F155" s="152">
        <f t="shared" si="41"/>
        <v>1092.6499999999999</v>
      </c>
      <c r="G155" s="152">
        <f t="shared" si="41"/>
        <v>1119.9662499999997</v>
      </c>
      <c r="H155" s="152">
        <f t="shared" si="41"/>
        <v>1147.9654062499997</v>
      </c>
      <c r="I155" s="152">
        <f t="shared" si="41"/>
        <v>1176.6645414062496</v>
      </c>
      <c r="J155" s="152">
        <f t="shared" si="41"/>
        <v>1206.0811549414057</v>
      </c>
      <c r="K155" s="152">
        <f t="shared" si="41"/>
        <v>1236.2331838149407</v>
      </c>
      <c r="L155" s="152">
        <f t="shared" si="42"/>
        <v>1267.1390134103142</v>
      </c>
      <c r="M155" s="65"/>
    </row>
    <row r="156" spans="1:13" s="66" customFormat="1" ht="12">
      <c r="A156" s="64" t="s">
        <v>89</v>
      </c>
      <c r="B156" s="58" t="s">
        <v>461</v>
      </c>
      <c r="C156" s="159">
        <f>SUM(C157:C158)</f>
        <v>89374813.00333333</v>
      </c>
      <c r="D156" s="152">
        <f t="shared" si="40"/>
        <v>92949805.52346666</v>
      </c>
      <c r="E156" s="152">
        <f t="shared" si="41"/>
        <v>95273550.66155332</v>
      </c>
      <c r="F156" s="152">
        <f t="shared" si="41"/>
        <v>97655389.42809215</v>
      </c>
      <c r="G156" s="152">
        <f t="shared" si="41"/>
        <v>100096774.16379444</v>
      </c>
      <c r="H156" s="152">
        <f t="shared" si="41"/>
        <v>102599193.51788929</v>
      </c>
      <c r="I156" s="152">
        <f t="shared" si="41"/>
        <v>105164173.35583651</v>
      </c>
      <c r="J156" s="152">
        <f t="shared" si="41"/>
        <v>107793277.68973242</v>
      </c>
      <c r="K156" s="152">
        <f t="shared" si="41"/>
        <v>110488109.63197573</v>
      </c>
      <c r="L156" s="152">
        <f t="shared" si="42"/>
        <v>113250312.37277511</v>
      </c>
      <c r="M156" s="65"/>
    </row>
    <row r="157" spans="1:13" ht="12">
      <c r="A157" s="67" t="s">
        <v>233</v>
      </c>
      <c r="B157" s="68" t="s">
        <v>462</v>
      </c>
      <c r="C157" s="154">
        <v>37374813.00333333</v>
      </c>
      <c r="D157" s="152">
        <f t="shared" si="40"/>
        <v>38869805.52346666</v>
      </c>
      <c r="E157" s="152">
        <f t="shared" si="41"/>
        <v>39841550.66155332</v>
      </c>
      <c r="F157" s="152">
        <f t="shared" si="41"/>
        <v>40837589.42809215</v>
      </c>
      <c r="G157" s="152">
        <f t="shared" si="41"/>
        <v>41858529.16379445</v>
      </c>
      <c r="H157" s="152">
        <f t="shared" si="41"/>
        <v>42904992.392889306</v>
      </c>
      <c r="I157" s="152">
        <f t="shared" si="41"/>
        <v>43977617.20271154</v>
      </c>
      <c r="J157" s="152">
        <f t="shared" si="41"/>
        <v>45077057.63277932</v>
      </c>
      <c r="K157" s="152">
        <f t="shared" si="41"/>
        <v>46203984.0735988</v>
      </c>
      <c r="L157" s="152">
        <f t="shared" si="42"/>
        <v>47359083.67543877</v>
      </c>
      <c r="M157" s="65"/>
    </row>
    <row r="158" spans="1:13" ht="24">
      <c r="A158" s="67" t="s">
        <v>192</v>
      </c>
      <c r="B158" s="68" t="s">
        <v>463</v>
      </c>
      <c r="C158" s="154">
        <v>52000000</v>
      </c>
      <c r="D158" s="152">
        <f t="shared" si="40"/>
        <v>54080000</v>
      </c>
      <c r="E158" s="152">
        <f aca="true" t="shared" si="43" ref="E158:K173">+D158*1.025</f>
        <v>55431999.99999999</v>
      </c>
      <c r="F158" s="152">
        <f t="shared" si="43"/>
        <v>56817799.999999985</v>
      </c>
      <c r="G158" s="152">
        <f t="shared" si="43"/>
        <v>58238244.99999998</v>
      </c>
      <c r="H158" s="152">
        <f t="shared" si="43"/>
        <v>59694201.12499997</v>
      </c>
      <c r="I158" s="152">
        <f t="shared" si="43"/>
        <v>61186556.153124966</v>
      </c>
      <c r="J158" s="152">
        <f t="shared" si="43"/>
        <v>62716220.05695309</v>
      </c>
      <c r="K158" s="152">
        <f t="shared" si="43"/>
        <v>64284125.55837691</v>
      </c>
      <c r="L158" s="152">
        <f t="shared" si="42"/>
        <v>65891228.69733632</v>
      </c>
      <c r="M158" s="65"/>
    </row>
    <row r="159" spans="1:12" ht="12">
      <c r="A159" s="69" t="s">
        <v>618</v>
      </c>
      <c r="B159" s="58" t="s">
        <v>619</v>
      </c>
      <c r="C159" s="159">
        <v>240250000</v>
      </c>
      <c r="D159" s="152">
        <f t="shared" si="40"/>
        <v>249860000</v>
      </c>
      <c r="E159" s="152">
        <f t="shared" si="43"/>
        <v>256106499.99999997</v>
      </c>
      <c r="F159" s="152">
        <f t="shared" si="43"/>
        <v>262509162.49999994</v>
      </c>
      <c r="G159" s="152">
        <f t="shared" si="43"/>
        <v>269071891.56249994</v>
      </c>
      <c r="H159" s="152">
        <f t="shared" si="43"/>
        <v>275798688.85156244</v>
      </c>
      <c r="I159" s="152">
        <f t="shared" si="43"/>
        <v>282693656.0728515</v>
      </c>
      <c r="J159" s="152">
        <f t="shared" si="43"/>
        <v>289760997.47467273</v>
      </c>
      <c r="K159" s="152">
        <f t="shared" si="43"/>
        <v>297005022.41153955</v>
      </c>
      <c r="L159" s="152">
        <f t="shared" si="42"/>
        <v>304430147.97182804</v>
      </c>
    </row>
    <row r="160" spans="1:13" ht="12">
      <c r="A160" s="57" t="s">
        <v>620</v>
      </c>
      <c r="B160" s="58" t="s">
        <v>407</v>
      </c>
      <c r="C160" s="159">
        <v>167808979</v>
      </c>
      <c r="D160" s="152">
        <f t="shared" si="40"/>
        <v>174521338.16</v>
      </c>
      <c r="E160" s="152">
        <f t="shared" si="43"/>
        <v>178884371.614</v>
      </c>
      <c r="F160" s="152">
        <f t="shared" si="43"/>
        <v>183356480.90434998</v>
      </c>
      <c r="G160" s="152">
        <f t="shared" si="43"/>
        <v>187940392.9269587</v>
      </c>
      <c r="H160" s="152">
        <f t="shared" si="43"/>
        <v>192638902.75013265</v>
      </c>
      <c r="I160" s="152">
        <f t="shared" si="43"/>
        <v>197454875.31888595</v>
      </c>
      <c r="J160" s="152">
        <f t="shared" si="43"/>
        <v>202391247.20185807</v>
      </c>
      <c r="K160" s="152">
        <f t="shared" si="43"/>
        <v>207451028.3819045</v>
      </c>
      <c r="L160" s="152">
        <f t="shared" si="42"/>
        <v>212637304.09145212</v>
      </c>
      <c r="M160" s="65"/>
    </row>
    <row r="161" spans="1:13" ht="12">
      <c r="A161" s="57" t="s">
        <v>621</v>
      </c>
      <c r="B161" s="68" t="s">
        <v>843</v>
      </c>
      <c r="C161" s="161">
        <v>29710923</v>
      </c>
      <c r="D161" s="152">
        <f t="shared" si="40"/>
        <v>30899359.92</v>
      </c>
      <c r="E161" s="152">
        <f t="shared" si="43"/>
        <v>31671843.917999998</v>
      </c>
      <c r="F161" s="152">
        <f t="shared" si="43"/>
        <v>32463640.015949994</v>
      </c>
      <c r="G161" s="152">
        <f t="shared" si="43"/>
        <v>33275231.016348742</v>
      </c>
      <c r="H161" s="152">
        <f t="shared" si="43"/>
        <v>34107111.79175746</v>
      </c>
      <c r="I161" s="152">
        <f t="shared" si="43"/>
        <v>34959789.58655139</v>
      </c>
      <c r="J161" s="152">
        <f t="shared" si="43"/>
        <v>35833784.32621517</v>
      </c>
      <c r="K161" s="152">
        <f t="shared" si="43"/>
        <v>36729628.93437055</v>
      </c>
      <c r="L161" s="152">
        <f t="shared" si="42"/>
        <v>37647869.657729805</v>
      </c>
      <c r="M161" s="65"/>
    </row>
    <row r="162" spans="1:13" ht="24">
      <c r="A162" s="57" t="s">
        <v>622</v>
      </c>
      <c r="B162" s="68" t="s">
        <v>409</v>
      </c>
      <c r="C162" s="161">
        <v>12000000</v>
      </c>
      <c r="D162" s="152">
        <f t="shared" si="40"/>
        <v>12480000</v>
      </c>
      <c r="E162" s="152">
        <f t="shared" si="43"/>
        <v>12791999.999999998</v>
      </c>
      <c r="F162" s="152">
        <f t="shared" si="43"/>
        <v>13111799.999999996</v>
      </c>
      <c r="G162" s="152">
        <f t="shared" si="43"/>
        <v>13439594.999999994</v>
      </c>
      <c r="H162" s="152">
        <f t="shared" si="43"/>
        <v>13775584.874999993</v>
      </c>
      <c r="I162" s="152">
        <f t="shared" si="43"/>
        <v>14119974.496874992</v>
      </c>
      <c r="J162" s="152">
        <f t="shared" si="43"/>
        <v>14472973.859296866</v>
      </c>
      <c r="K162" s="152">
        <f t="shared" si="43"/>
        <v>14834798.205779286</v>
      </c>
      <c r="L162" s="152">
        <f t="shared" si="42"/>
        <v>15205668.160923768</v>
      </c>
      <c r="M162" s="65"/>
    </row>
    <row r="163" spans="1:12" ht="12">
      <c r="A163" s="69" t="s">
        <v>623</v>
      </c>
      <c r="B163" s="74" t="s">
        <v>624</v>
      </c>
      <c r="C163" s="159">
        <v>129000000</v>
      </c>
      <c r="D163" s="152">
        <f t="shared" si="40"/>
        <v>134160000</v>
      </c>
      <c r="E163" s="152">
        <f t="shared" si="43"/>
        <v>137514000</v>
      </c>
      <c r="F163" s="152">
        <f t="shared" si="43"/>
        <v>140951850</v>
      </c>
      <c r="G163" s="152">
        <f t="shared" si="43"/>
        <v>144475646.25</v>
      </c>
      <c r="H163" s="152">
        <f t="shared" si="43"/>
        <v>148087537.40625</v>
      </c>
      <c r="I163" s="152">
        <f t="shared" si="43"/>
        <v>151789725.84140623</v>
      </c>
      <c r="J163" s="152">
        <f t="shared" si="43"/>
        <v>155584468.98744136</v>
      </c>
      <c r="K163" s="152">
        <f t="shared" si="43"/>
        <v>159474080.7121274</v>
      </c>
      <c r="L163" s="152">
        <f t="shared" si="42"/>
        <v>163460932.72993055</v>
      </c>
    </row>
    <row r="164" spans="1:12" ht="12">
      <c r="A164" s="57" t="s">
        <v>627</v>
      </c>
      <c r="B164" s="75" t="s">
        <v>625</v>
      </c>
      <c r="C164" s="154">
        <f>+C165</f>
        <v>112165295</v>
      </c>
      <c r="D164" s="152">
        <f t="shared" si="40"/>
        <v>116651906.8</v>
      </c>
      <c r="E164" s="152">
        <f t="shared" si="43"/>
        <v>119568204.46999998</v>
      </c>
      <c r="F164" s="154" t="e">
        <f aca="true" t="shared" si="44" ref="F164:K164">+F165</f>
        <v>#REF!</v>
      </c>
      <c r="G164" s="154" t="e">
        <f t="shared" si="44"/>
        <v>#REF!</v>
      </c>
      <c r="H164" s="154" t="e">
        <f t="shared" si="44"/>
        <v>#REF!</v>
      </c>
      <c r="I164" s="154" t="e">
        <f t="shared" si="44"/>
        <v>#REF!</v>
      </c>
      <c r="J164" s="154" t="e">
        <f t="shared" si="44"/>
        <v>#REF!</v>
      </c>
      <c r="K164" s="154" t="e">
        <f t="shared" si="44"/>
        <v>#REF!</v>
      </c>
      <c r="L164" s="154" t="e">
        <f>+L165</f>
        <v>#REF!</v>
      </c>
    </row>
    <row r="165" spans="1:13" ht="12">
      <c r="A165" s="57" t="s">
        <v>628</v>
      </c>
      <c r="B165" s="75" t="s">
        <v>626</v>
      </c>
      <c r="C165" s="154">
        <v>112165295</v>
      </c>
      <c r="D165" s="152">
        <f t="shared" si="40"/>
        <v>116651906.8</v>
      </c>
      <c r="E165" s="152">
        <f t="shared" si="43"/>
        <v>119568204.46999998</v>
      </c>
      <c r="F165" s="154" t="e">
        <f>+E165*#REF!</f>
        <v>#REF!</v>
      </c>
      <c r="G165" s="154" t="e">
        <f>+F165*#REF!</f>
        <v>#REF!</v>
      </c>
      <c r="H165" s="154" t="e">
        <f>+G165*#REF!</f>
        <v>#REF!</v>
      </c>
      <c r="I165" s="154" t="e">
        <f>+H165*#REF!</f>
        <v>#REF!</v>
      </c>
      <c r="J165" s="154" t="e">
        <f>+I165*#REF!</f>
        <v>#REF!</v>
      </c>
      <c r="K165" s="154" t="e">
        <f>+J165*#REF!</f>
        <v>#REF!</v>
      </c>
      <c r="L165" s="154" t="e">
        <f>+K165*#REF!</f>
        <v>#REF!</v>
      </c>
      <c r="M165" s="65"/>
    </row>
    <row r="166" spans="1:12" ht="12">
      <c r="A166" s="61"/>
      <c r="C166" s="160"/>
      <c r="D166" s="152">
        <f t="shared" si="40"/>
        <v>0</v>
      </c>
      <c r="E166" s="152">
        <f t="shared" si="43"/>
        <v>0</v>
      </c>
      <c r="F166" s="160"/>
      <c r="G166" s="160"/>
      <c r="H166" s="160"/>
      <c r="I166" s="160"/>
      <c r="J166" s="160"/>
      <c r="K166" s="160"/>
      <c r="L166" s="160"/>
    </row>
    <row r="167" spans="1:12" ht="12">
      <c r="A167" s="69" t="s">
        <v>156</v>
      </c>
      <c r="B167" s="58" t="s">
        <v>147</v>
      </c>
      <c r="C167" s="159">
        <f>168000000+275409000</f>
        <v>443409000</v>
      </c>
      <c r="D167" s="152">
        <f t="shared" si="40"/>
        <v>461145360</v>
      </c>
      <c r="E167" s="152">
        <f t="shared" si="43"/>
        <v>472673993.99999994</v>
      </c>
      <c r="F167" s="152">
        <f t="shared" si="43"/>
        <v>484490843.8499999</v>
      </c>
      <c r="G167" s="152">
        <f t="shared" si="43"/>
        <v>496603114.94624984</v>
      </c>
      <c r="H167" s="152">
        <f>+G167*1.025+205000000</f>
        <v>714018192.819906</v>
      </c>
      <c r="I167" s="152">
        <f t="shared" si="43"/>
        <v>731868647.6404036</v>
      </c>
      <c r="J167" s="152">
        <f t="shared" si="43"/>
        <v>750165363.8314136</v>
      </c>
      <c r="K167" s="152">
        <f t="shared" si="43"/>
        <v>768919497.9271989</v>
      </c>
      <c r="L167" s="152">
        <f aca="true" t="shared" si="45" ref="L167:L204">+K167*1.025</f>
        <v>788142485.3753788</v>
      </c>
    </row>
    <row r="168" spans="1:12" ht="12">
      <c r="A168" s="69" t="s">
        <v>161</v>
      </c>
      <c r="B168" s="76" t="s">
        <v>163</v>
      </c>
      <c r="C168" s="159">
        <f>+C169</f>
        <v>90000000</v>
      </c>
      <c r="D168" s="152">
        <f t="shared" si="40"/>
        <v>93600000</v>
      </c>
      <c r="E168" s="152">
        <f t="shared" si="43"/>
        <v>95939999.99999999</v>
      </c>
      <c r="F168" s="152">
        <f t="shared" si="43"/>
        <v>98338499.99999997</v>
      </c>
      <c r="G168" s="152">
        <f t="shared" si="43"/>
        <v>100796962.49999996</v>
      </c>
      <c r="H168" s="152">
        <f t="shared" si="43"/>
        <v>103316886.56249994</v>
      </c>
      <c r="I168" s="152">
        <f t="shared" si="43"/>
        <v>105899808.72656243</v>
      </c>
      <c r="J168" s="152">
        <f t="shared" si="43"/>
        <v>108547303.94472648</v>
      </c>
      <c r="K168" s="152">
        <f t="shared" si="43"/>
        <v>111260986.54334463</v>
      </c>
      <c r="L168" s="152">
        <f t="shared" si="45"/>
        <v>114042511.20692824</v>
      </c>
    </row>
    <row r="169" spans="1:12" ht="12">
      <c r="A169" s="69" t="s">
        <v>162</v>
      </c>
      <c r="B169" s="75" t="s">
        <v>459</v>
      </c>
      <c r="C169" s="154">
        <f>+C170</f>
        <v>90000000</v>
      </c>
      <c r="D169" s="152">
        <f t="shared" si="40"/>
        <v>93600000</v>
      </c>
      <c r="E169" s="152">
        <f t="shared" si="43"/>
        <v>95939999.99999999</v>
      </c>
      <c r="F169" s="152">
        <f t="shared" si="43"/>
        <v>98338499.99999997</v>
      </c>
      <c r="G169" s="152">
        <f t="shared" si="43"/>
        <v>100796962.49999996</v>
      </c>
      <c r="H169" s="152">
        <f t="shared" si="43"/>
        <v>103316886.56249994</v>
      </c>
      <c r="I169" s="152">
        <f t="shared" si="43"/>
        <v>105899808.72656243</v>
      </c>
      <c r="J169" s="152">
        <f t="shared" si="43"/>
        <v>108547303.94472648</v>
      </c>
      <c r="K169" s="152">
        <f t="shared" si="43"/>
        <v>111260986.54334463</v>
      </c>
      <c r="L169" s="152">
        <f t="shared" si="45"/>
        <v>114042511.20692824</v>
      </c>
    </row>
    <row r="170" spans="1:13" ht="36">
      <c r="A170" s="69" t="s">
        <v>164</v>
      </c>
      <c r="B170" s="75" t="s">
        <v>112</v>
      </c>
      <c r="C170" s="154">
        <v>90000000</v>
      </c>
      <c r="D170" s="152">
        <f t="shared" si="40"/>
        <v>93600000</v>
      </c>
      <c r="E170" s="152">
        <f t="shared" si="43"/>
        <v>95939999.99999999</v>
      </c>
      <c r="F170" s="152">
        <f t="shared" si="43"/>
        <v>98338499.99999997</v>
      </c>
      <c r="G170" s="152">
        <f t="shared" si="43"/>
        <v>100796962.49999996</v>
      </c>
      <c r="H170" s="152">
        <f t="shared" si="43"/>
        <v>103316886.56249994</v>
      </c>
      <c r="I170" s="152">
        <f t="shared" si="43"/>
        <v>105899808.72656243</v>
      </c>
      <c r="J170" s="152">
        <f t="shared" si="43"/>
        <v>108547303.94472648</v>
      </c>
      <c r="K170" s="152">
        <f t="shared" si="43"/>
        <v>111260986.54334463</v>
      </c>
      <c r="L170" s="152">
        <f t="shared" si="45"/>
        <v>114042511.20692824</v>
      </c>
      <c r="M170" s="65"/>
    </row>
    <row r="171" spans="1:12" ht="12">
      <c r="A171" s="69" t="s">
        <v>165</v>
      </c>
      <c r="B171" s="58" t="s">
        <v>448</v>
      </c>
      <c r="C171" s="159">
        <f>+C172</f>
        <v>14500000</v>
      </c>
      <c r="D171" s="152">
        <f t="shared" si="40"/>
        <v>15080000</v>
      </c>
      <c r="E171" s="152">
        <f t="shared" si="43"/>
        <v>15456999.999999998</v>
      </c>
      <c r="F171" s="152">
        <f t="shared" si="43"/>
        <v>15843424.999999996</v>
      </c>
      <c r="G171" s="152">
        <f t="shared" si="43"/>
        <v>16239510.624999994</v>
      </c>
      <c r="H171" s="152">
        <f t="shared" si="43"/>
        <v>16645498.390624993</v>
      </c>
      <c r="I171" s="152">
        <f t="shared" si="43"/>
        <v>17061635.850390617</v>
      </c>
      <c r="J171" s="152">
        <f t="shared" si="43"/>
        <v>17488176.74665038</v>
      </c>
      <c r="K171" s="152">
        <f t="shared" si="43"/>
        <v>17925381.165316638</v>
      </c>
      <c r="L171" s="152">
        <f t="shared" si="45"/>
        <v>18373515.69444955</v>
      </c>
    </row>
    <row r="172" spans="1:12" ht="24">
      <c r="A172" s="57" t="s">
        <v>166</v>
      </c>
      <c r="B172" s="68" t="s">
        <v>194</v>
      </c>
      <c r="C172" s="154">
        <f>+C173</f>
        <v>14500000</v>
      </c>
      <c r="D172" s="152">
        <f t="shared" si="40"/>
        <v>15080000</v>
      </c>
      <c r="E172" s="152">
        <f t="shared" si="43"/>
        <v>15456999.999999998</v>
      </c>
      <c r="F172" s="152">
        <f t="shared" si="43"/>
        <v>15843424.999999996</v>
      </c>
      <c r="G172" s="152">
        <f t="shared" si="43"/>
        <v>16239510.624999994</v>
      </c>
      <c r="H172" s="152">
        <f t="shared" si="43"/>
        <v>16645498.390624993</v>
      </c>
      <c r="I172" s="152">
        <f t="shared" si="43"/>
        <v>17061635.850390617</v>
      </c>
      <c r="J172" s="152">
        <f t="shared" si="43"/>
        <v>17488176.74665038</v>
      </c>
      <c r="K172" s="152">
        <f t="shared" si="43"/>
        <v>17925381.165316638</v>
      </c>
      <c r="L172" s="152">
        <f t="shared" si="45"/>
        <v>18373515.69444955</v>
      </c>
    </row>
    <row r="173" spans="1:13" ht="24.75" customHeight="1">
      <c r="A173" s="57" t="s">
        <v>167</v>
      </c>
      <c r="B173" s="68" t="s">
        <v>195</v>
      </c>
      <c r="C173" s="154">
        <v>14500000</v>
      </c>
      <c r="D173" s="152">
        <f t="shared" si="40"/>
        <v>15080000</v>
      </c>
      <c r="E173" s="152">
        <f t="shared" si="43"/>
        <v>15456999.999999998</v>
      </c>
      <c r="F173" s="152">
        <f t="shared" si="43"/>
        <v>15843424.999999996</v>
      </c>
      <c r="G173" s="152">
        <f t="shared" si="43"/>
        <v>16239510.624999994</v>
      </c>
      <c r="H173" s="152">
        <f t="shared" si="43"/>
        <v>16645498.390624993</v>
      </c>
      <c r="I173" s="152">
        <f t="shared" si="43"/>
        <v>17061635.850390617</v>
      </c>
      <c r="J173" s="152">
        <f t="shared" si="43"/>
        <v>17488176.74665038</v>
      </c>
      <c r="K173" s="152">
        <f t="shared" si="43"/>
        <v>17925381.165316638</v>
      </c>
      <c r="L173" s="152">
        <f t="shared" si="45"/>
        <v>18373515.69444955</v>
      </c>
      <c r="M173" s="65"/>
    </row>
    <row r="174" spans="1:12" ht="12">
      <c r="A174" s="69" t="s">
        <v>662</v>
      </c>
      <c r="B174" s="58" t="s">
        <v>445</v>
      </c>
      <c r="C174" s="154">
        <f>+C175</f>
        <v>17270000</v>
      </c>
      <c r="D174" s="152">
        <f t="shared" si="40"/>
        <v>17960800</v>
      </c>
      <c r="E174" s="152">
        <f aca="true" t="shared" si="46" ref="E174:K189">+D174*1.025</f>
        <v>18409820</v>
      </c>
      <c r="F174" s="152">
        <f t="shared" si="46"/>
        <v>18870065.5</v>
      </c>
      <c r="G174" s="152">
        <f t="shared" si="46"/>
        <v>19341817.1375</v>
      </c>
      <c r="H174" s="152">
        <f t="shared" si="46"/>
        <v>19825362.565937497</v>
      </c>
      <c r="I174" s="152">
        <f t="shared" si="46"/>
        <v>20320996.630085934</v>
      </c>
      <c r="J174" s="152">
        <f t="shared" si="46"/>
        <v>20829021.54583808</v>
      </c>
      <c r="K174" s="152">
        <f t="shared" si="46"/>
        <v>21349747.08448403</v>
      </c>
      <c r="L174" s="152">
        <f t="shared" si="45"/>
        <v>21883490.76159613</v>
      </c>
    </row>
    <row r="175" spans="1:13" ht="12">
      <c r="A175" s="69" t="s">
        <v>663</v>
      </c>
      <c r="B175" s="68" t="s">
        <v>447</v>
      </c>
      <c r="C175" s="154">
        <v>17270000</v>
      </c>
      <c r="D175" s="152">
        <f t="shared" si="40"/>
        <v>17960800</v>
      </c>
      <c r="E175" s="152">
        <f t="shared" si="46"/>
        <v>18409820</v>
      </c>
      <c r="F175" s="152">
        <f t="shared" si="46"/>
        <v>18870065.5</v>
      </c>
      <c r="G175" s="152">
        <f t="shared" si="46"/>
        <v>19341817.1375</v>
      </c>
      <c r="H175" s="152">
        <f t="shared" si="46"/>
        <v>19825362.565937497</v>
      </c>
      <c r="I175" s="152">
        <f t="shared" si="46"/>
        <v>20320996.630085934</v>
      </c>
      <c r="J175" s="152">
        <f t="shared" si="46"/>
        <v>20829021.54583808</v>
      </c>
      <c r="K175" s="152">
        <f t="shared" si="46"/>
        <v>21349747.08448403</v>
      </c>
      <c r="L175" s="152">
        <f t="shared" si="45"/>
        <v>21883490.76159613</v>
      </c>
      <c r="M175" s="65"/>
    </row>
    <row r="176" spans="1:12" ht="12">
      <c r="A176" s="61"/>
      <c r="C176" s="160"/>
      <c r="D176" s="152">
        <f t="shared" si="40"/>
        <v>0</v>
      </c>
      <c r="E176" s="152">
        <f t="shared" si="46"/>
        <v>0</v>
      </c>
      <c r="F176" s="152">
        <f t="shared" si="46"/>
        <v>0</v>
      </c>
      <c r="G176" s="152">
        <f t="shared" si="46"/>
        <v>0</v>
      </c>
      <c r="H176" s="152">
        <f t="shared" si="46"/>
        <v>0</v>
      </c>
      <c r="I176" s="152">
        <f t="shared" si="46"/>
        <v>0</v>
      </c>
      <c r="J176" s="152">
        <f t="shared" si="46"/>
        <v>0</v>
      </c>
      <c r="K176" s="152">
        <f t="shared" si="46"/>
        <v>0</v>
      </c>
      <c r="L176" s="152">
        <f t="shared" si="45"/>
        <v>0</v>
      </c>
    </row>
    <row r="177" spans="1:13" s="66" customFormat="1" ht="12">
      <c r="A177" s="69" t="s">
        <v>157</v>
      </c>
      <c r="B177" s="76" t="s">
        <v>101</v>
      </c>
      <c r="C177" s="159">
        <v>214400000</v>
      </c>
      <c r="D177" s="152">
        <f t="shared" si="40"/>
        <v>222976000</v>
      </c>
      <c r="E177" s="152">
        <f t="shared" si="46"/>
        <v>228550399.99999997</v>
      </c>
      <c r="F177" s="152">
        <f t="shared" si="46"/>
        <v>234264159.99999994</v>
      </c>
      <c r="G177" s="152">
        <f t="shared" si="46"/>
        <v>240120763.9999999</v>
      </c>
      <c r="H177" s="152">
        <f t="shared" si="46"/>
        <v>246123783.09999987</v>
      </c>
      <c r="I177" s="152">
        <f t="shared" si="46"/>
        <v>252276877.67749986</v>
      </c>
      <c r="J177" s="152">
        <f t="shared" si="46"/>
        <v>258583799.61943734</v>
      </c>
      <c r="K177" s="152">
        <f t="shared" si="46"/>
        <v>265048394.60992324</v>
      </c>
      <c r="L177" s="152">
        <f t="shared" si="45"/>
        <v>271674604.4751713</v>
      </c>
      <c r="M177" s="65"/>
    </row>
    <row r="178" spans="1:12" ht="12">
      <c r="A178" s="69" t="s">
        <v>196</v>
      </c>
      <c r="B178" s="76" t="s">
        <v>102</v>
      </c>
      <c r="C178" s="159">
        <f>+C179+C182</f>
        <v>36353000</v>
      </c>
      <c r="D178" s="152">
        <f t="shared" si="40"/>
        <v>37807120</v>
      </c>
      <c r="E178" s="152">
        <f t="shared" si="46"/>
        <v>38752298</v>
      </c>
      <c r="F178" s="152">
        <f t="shared" si="46"/>
        <v>39721105.449999996</v>
      </c>
      <c r="G178" s="152">
        <f t="shared" si="46"/>
        <v>40714133.08624999</v>
      </c>
      <c r="H178" s="152">
        <f t="shared" si="46"/>
        <v>41731986.41340624</v>
      </c>
      <c r="I178" s="152">
        <f t="shared" si="46"/>
        <v>42775286.07374139</v>
      </c>
      <c r="J178" s="152">
        <f t="shared" si="46"/>
        <v>43844668.225584924</v>
      </c>
      <c r="K178" s="152">
        <f t="shared" si="46"/>
        <v>44940784.93122454</v>
      </c>
      <c r="L178" s="152">
        <f t="shared" si="45"/>
        <v>46064304.55450515</v>
      </c>
    </row>
    <row r="179" spans="1:12" ht="12">
      <c r="A179" s="57" t="s">
        <v>537</v>
      </c>
      <c r="B179" s="75" t="s">
        <v>539</v>
      </c>
      <c r="C179" s="154">
        <f>+C180+C181</f>
        <v>20012000</v>
      </c>
      <c r="D179" s="152">
        <f t="shared" si="40"/>
        <v>20812480</v>
      </c>
      <c r="E179" s="152">
        <f t="shared" si="46"/>
        <v>21332792</v>
      </c>
      <c r="F179" s="152">
        <f t="shared" si="46"/>
        <v>21866111.799999997</v>
      </c>
      <c r="G179" s="152">
        <f t="shared" si="46"/>
        <v>22412764.594999995</v>
      </c>
      <c r="H179" s="152">
        <f t="shared" si="46"/>
        <v>22973083.70987499</v>
      </c>
      <c r="I179" s="152">
        <f t="shared" si="46"/>
        <v>23547410.802621864</v>
      </c>
      <c r="J179" s="152">
        <f t="shared" si="46"/>
        <v>24136096.07268741</v>
      </c>
      <c r="K179" s="152">
        <f t="shared" si="46"/>
        <v>24739498.474504594</v>
      </c>
      <c r="L179" s="152">
        <f t="shared" si="45"/>
        <v>25357985.936367206</v>
      </c>
    </row>
    <row r="180" spans="1:13" ht="12">
      <c r="A180" s="57" t="s">
        <v>712</v>
      </c>
      <c r="B180" s="75" t="s">
        <v>714</v>
      </c>
      <c r="C180" s="154">
        <v>18011000</v>
      </c>
      <c r="D180" s="152">
        <f t="shared" si="40"/>
        <v>18731440</v>
      </c>
      <c r="E180" s="152">
        <f t="shared" si="46"/>
        <v>19199726</v>
      </c>
      <c r="F180" s="152">
        <f t="shared" si="46"/>
        <v>19679719.15</v>
      </c>
      <c r="G180" s="152">
        <f t="shared" si="46"/>
        <v>20171712.128749996</v>
      </c>
      <c r="H180" s="152">
        <f t="shared" si="46"/>
        <v>20676004.931968745</v>
      </c>
      <c r="I180" s="152">
        <f t="shared" si="46"/>
        <v>21192905.05526796</v>
      </c>
      <c r="J180" s="152">
        <f t="shared" si="46"/>
        <v>21722727.681649655</v>
      </c>
      <c r="K180" s="152">
        <f t="shared" si="46"/>
        <v>22265795.873690896</v>
      </c>
      <c r="L180" s="152">
        <f t="shared" si="45"/>
        <v>22822440.770533167</v>
      </c>
      <c r="M180" s="65"/>
    </row>
    <row r="181" spans="1:13" ht="24">
      <c r="A181" s="57" t="s">
        <v>713</v>
      </c>
      <c r="B181" s="75" t="s">
        <v>542</v>
      </c>
      <c r="C181" s="154">
        <v>2001000</v>
      </c>
      <c r="D181" s="152">
        <f t="shared" si="40"/>
        <v>2081040</v>
      </c>
      <c r="E181" s="152">
        <f t="shared" si="46"/>
        <v>2133066</v>
      </c>
      <c r="F181" s="152">
        <f t="shared" si="46"/>
        <v>2186392.65</v>
      </c>
      <c r="G181" s="152">
        <f t="shared" si="46"/>
        <v>2241052.4662499996</v>
      </c>
      <c r="H181" s="152">
        <f t="shared" si="46"/>
        <v>2297078.7779062493</v>
      </c>
      <c r="I181" s="152">
        <f t="shared" si="46"/>
        <v>2354505.7473539053</v>
      </c>
      <c r="J181" s="152">
        <f t="shared" si="46"/>
        <v>2413368.391037753</v>
      </c>
      <c r="K181" s="152">
        <f t="shared" si="46"/>
        <v>2473702.6008136966</v>
      </c>
      <c r="L181" s="152">
        <f t="shared" si="45"/>
        <v>2535545.165834039</v>
      </c>
      <c r="M181" s="65"/>
    </row>
    <row r="182" spans="1:13" ht="12">
      <c r="A182" s="57" t="s">
        <v>550</v>
      </c>
      <c r="B182" s="75" t="s">
        <v>540</v>
      </c>
      <c r="C182" s="154">
        <v>16341000</v>
      </c>
      <c r="D182" s="152">
        <f t="shared" si="40"/>
        <v>16994640</v>
      </c>
      <c r="E182" s="152">
        <f t="shared" si="46"/>
        <v>17419506</v>
      </c>
      <c r="F182" s="152">
        <f t="shared" si="46"/>
        <v>17854993.65</v>
      </c>
      <c r="G182" s="152">
        <f t="shared" si="46"/>
        <v>18301368.491249997</v>
      </c>
      <c r="H182" s="152">
        <f t="shared" si="46"/>
        <v>18758902.703531247</v>
      </c>
      <c r="I182" s="152">
        <f t="shared" si="46"/>
        <v>19227875.271119528</v>
      </c>
      <c r="J182" s="152">
        <f t="shared" si="46"/>
        <v>19708572.152897514</v>
      </c>
      <c r="K182" s="152">
        <f t="shared" si="46"/>
        <v>20201286.45671995</v>
      </c>
      <c r="L182" s="152">
        <f t="shared" si="45"/>
        <v>20706318.61813795</v>
      </c>
      <c r="M182" s="65"/>
    </row>
    <row r="183" spans="1:12" ht="24">
      <c r="A183" s="69" t="s">
        <v>197</v>
      </c>
      <c r="B183" s="76" t="s">
        <v>104</v>
      </c>
      <c r="C183" s="159">
        <f>+C184</f>
        <v>30000000</v>
      </c>
      <c r="D183" s="152">
        <f t="shared" si="40"/>
        <v>31200000</v>
      </c>
      <c r="E183" s="152">
        <f t="shared" si="46"/>
        <v>31979999.999999996</v>
      </c>
      <c r="F183" s="152">
        <f t="shared" si="46"/>
        <v>32779499.999999993</v>
      </c>
      <c r="G183" s="152">
        <f t="shared" si="46"/>
        <v>33598987.49999999</v>
      </c>
      <c r="H183" s="152">
        <f t="shared" si="46"/>
        <v>34438962.18749999</v>
      </c>
      <c r="I183" s="152">
        <f t="shared" si="46"/>
        <v>35299936.24218749</v>
      </c>
      <c r="J183" s="152">
        <f t="shared" si="46"/>
        <v>36182434.648242176</v>
      </c>
      <c r="K183" s="152">
        <f t="shared" si="46"/>
        <v>37086995.514448225</v>
      </c>
      <c r="L183" s="152">
        <f t="shared" si="45"/>
        <v>38014170.402309425</v>
      </c>
    </row>
    <row r="184" spans="1:12" ht="36">
      <c r="A184" s="69" t="s">
        <v>601</v>
      </c>
      <c r="B184" s="58" t="s">
        <v>437</v>
      </c>
      <c r="C184" s="154">
        <f>+C185</f>
        <v>30000000</v>
      </c>
      <c r="D184" s="152">
        <f t="shared" si="40"/>
        <v>31200000</v>
      </c>
      <c r="E184" s="152">
        <f t="shared" si="46"/>
        <v>31979999.999999996</v>
      </c>
      <c r="F184" s="152">
        <f t="shared" si="46"/>
        <v>32779499.999999993</v>
      </c>
      <c r="G184" s="152">
        <f t="shared" si="46"/>
        <v>33598987.49999999</v>
      </c>
      <c r="H184" s="152">
        <f t="shared" si="46"/>
        <v>34438962.18749999</v>
      </c>
      <c r="I184" s="152">
        <f t="shared" si="46"/>
        <v>35299936.24218749</v>
      </c>
      <c r="J184" s="152">
        <f t="shared" si="46"/>
        <v>36182434.648242176</v>
      </c>
      <c r="K184" s="152">
        <f t="shared" si="46"/>
        <v>37086995.514448225</v>
      </c>
      <c r="L184" s="152">
        <f t="shared" si="45"/>
        <v>38014170.402309425</v>
      </c>
    </row>
    <row r="185" spans="1:13" ht="48">
      <c r="A185" s="69" t="s">
        <v>602</v>
      </c>
      <c r="B185" s="68" t="s">
        <v>438</v>
      </c>
      <c r="C185" s="154">
        <v>30000000</v>
      </c>
      <c r="D185" s="152">
        <f t="shared" si="40"/>
        <v>31200000</v>
      </c>
      <c r="E185" s="152">
        <f t="shared" si="46"/>
        <v>31979999.999999996</v>
      </c>
      <c r="F185" s="152">
        <f t="shared" si="46"/>
        <v>32779499.999999993</v>
      </c>
      <c r="G185" s="152">
        <f t="shared" si="46"/>
        <v>33598987.49999999</v>
      </c>
      <c r="H185" s="152">
        <f t="shared" si="46"/>
        <v>34438962.18749999</v>
      </c>
      <c r="I185" s="152">
        <f t="shared" si="46"/>
        <v>35299936.24218749</v>
      </c>
      <c r="J185" s="152">
        <f t="shared" si="46"/>
        <v>36182434.648242176</v>
      </c>
      <c r="K185" s="152">
        <f t="shared" si="46"/>
        <v>37086995.514448225</v>
      </c>
      <c r="L185" s="152">
        <f t="shared" si="45"/>
        <v>38014170.402309425</v>
      </c>
      <c r="M185" s="65"/>
    </row>
    <row r="186" spans="1:12" ht="12">
      <c r="A186" s="69" t="s">
        <v>599</v>
      </c>
      <c r="B186" s="75" t="s">
        <v>105</v>
      </c>
      <c r="C186" s="154">
        <f>+C187</f>
        <v>1000</v>
      </c>
      <c r="D186" s="152">
        <f t="shared" si="40"/>
        <v>1040</v>
      </c>
      <c r="E186" s="152">
        <f t="shared" si="46"/>
        <v>1066</v>
      </c>
      <c r="F186" s="152">
        <f t="shared" si="46"/>
        <v>1092.6499999999999</v>
      </c>
      <c r="G186" s="152">
        <f t="shared" si="46"/>
        <v>1119.9662499999997</v>
      </c>
      <c r="H186" s="152">
        <f t="shared" si="46"/>
        <v>1147.9654062499997</v>
      </c>
      <c r="I186" s="152">
        <f t="shared" si="46"/>
        <v>1176.6645414062496</v>
      </c>
      <c r="J186" s="152">
        <f t="shared" si="46"/>
        <v>1206.0811549414057</v>
      </c>
      <c r="K186" s="152">
        <f t="shared" si="46"/>
        <v>1236.2331838149407</v>
      </c>
      <c r="L186" s="152">
        <f t="shared" si="45"/>
        <v>1267.1390134103142</v>
      </c>
    </row>
    <row r="187" spans="1:12" ht="12">
      <c r="A187" s="57" t="s">
        <v>603</v>
      </c>
      <c r="B187" s="75" t="s">
        <v>585</v>
      </c>
      <c r="C187" s="154">
        <f>+C188</f>
        <v>1000</v>
      </c>
      <c r="D187" s="152">
        <f t="shared" si="40"/>
        <v>1040</v>
      </c>
      <c r="E187" s="152">
        <f t="shared" si="46"/>
        <v>1066</v>
      </c>
      <c r="F187" s="152">
        <f t="shared" si="46"/>
        <v>1092.6499999999999</v>
      </c>
      <c r="G187" s="152">
        <f t="shared" si="46"/>
        <v>1119.9662499999997</v>
      </c>
      <c r="H187" s="152">
        <f t="shared" si="46"/>
        <v>1147.9654062499997</v>
      </c>
      <c r="I187" s="152">
        <f t="shared" si="46"/>
        <v>1176.6645414062496</v>
      </c>
      <c r="J187" s="152">
        <f t="shared" si="46"/>
        <v>1206.0811549414057</v>
      </c>
      <c r="K187" s="152">
        <f t="shared" si="46"/>
        <v>1236.2331838149407</v>
      </c>
      <c r="L187" s="152">
        <f t="shared" si="45"/>
        <v>1267.1390134103142</v>
      </c>
    </row>
    <row r="188" spans="1:13" ht="12">
      <c r="A188" s="57" t="s">
        <v>604</v>
      </c>
      <c r="B188" s="75" t="s">
        <v>586</v>
      </c>
      <c r="C188" s="154">
        <v>1000</v>
      </c>
      <c r="D188" s="152">
        <f t="shared" si="40"/>
        <v>1040</v>
      </c>
      <c r="E188" s="152">
        <f t="shared" si="46"/>
        <v>1066</v>
      </c>
      <c r="F188" s="152">
        <f t="shared" si="46"/>
        <v>1092.6499999999999</v>
      </c>
      <c r="G188" s="152">
        <f t="shared" si="46"/>
        <v>1119.9662499999997</v>
      </c>
      <c r="H188" s="152">
        <f t="shared" si="46"/>
        <v>1147.9654062499997</v>
      </c>
      <c r="I188" s="152">
        <f t="shared" si="46"/>
        <v>1176.6645414062496</v>
      </c>
      <c r="J188" s="152">
        <f t="shared" si="46"/>
        <v>1206.0811549414057</v>
      </c>
      <c r="K188" s="152">
        <f t="shared" si="46"/>
        <v>1236.2331838149407</v>
      </c>
      <c r="L188" s="152">
        <f t="shared" si="45"/>
        <v>1267.1390134103142</v>
      </c>
      <c r="M188" s="65"/>
    </row>
    <row r="189" spans="1:12" ht="12">
      <c r="A189" s="69" t="s">
        <v>600</v>
      </c>
      <c r="B189" s="75" t="s">
        <v>106</v>
      </c>
      <c r="C189" s="154">
        <f>+C190</f>
        <v>14000000</v>
      </c>
      <c r="D189" s="152">
        <f t="shared" si="40"/>
        <v>14560000</v>
      </c>
      <c r="E189" s="152">
        <f t="shared" si="46"/>
        <v>14923999.999999998</v>
      </c>
      <c r="F189" s="152">
        <f t="shared" si="46"/>
        <v>15297099.999999996</v>
      </c>
      <c r="G189" s="152">
        <f t="shared" si="46"/>
        <v>15679527.499999994</v>
      </c>
      <c r="H189" s="152">
        <f t="shared" si="46"/>
        <v>16071515.687499993</v>
      </c>
      <c r="I189" s="152">
        <f t="shared" si="46"/>
        <v>16473303.579687491</v>
      </c>
      <c r="J189" s="152">
        <f t="shared" si="46"/>
        <v>16885136.169179678</v>
      </c>
      <c r="K189" s="152">
        <f t="shared" si="46"/>
        <v>17307264.57340917</v>
      </c>
      <c r="L189" s="152">
        <f t="shared" si="45"/>
        <v>17739946.187744398</v>
      </c>
    </row>
    <row r="190" spans="1:12" ht="12">
      <c r="A190" s="57" t="s">
        <v>605</v>
      </c>
      <c r="B190" s="68" t="s">
        <v>461</v>
      </c>
      <c r="C190" s="154">
        <f>+C191</f>
        <v>14000000</v>
      </c>
      <c r="D190" s="152">
        <f t="shared" si="40"/>
        <v>14560000</v>
      </c>
      <c r="E190" s="152">
        <f aca="true" t="shared" si="47" ref="E190:K205">+D190*1.025</f>
        <v>14923999.999999998</v>
      </c>
      <c r="F190" s="152">
        <f t="shared" si="47"/>
        <v>15297099.999999996</v>
      </c>
      <c r="G190" s="152">
        <f t="shared" si="47"/>
        <v>15679527.499999994</v>
      </c>
      <c r="H190" s="152">
        <f t="shared" si="47"/>
        <v>16071515.687499993</v>
      </c>
      <c r="I190" s="152">
        <f t="shared" si="47"/>
        <v>16473303.579687491</v>
      </c>
      <c r="J190" s="152">
        <f t="shared" si="47"/>
        <v>16885136.169179678</v>
      </c>
      <c r="K190" s="152">
        <f t="shared" si="47"/>
        <v>17307264.57340917</v>
      </c>
      <c r="L190" s="152">
        <f t="shared" si="45"/>
        <v>17739946.187744398</v>
      </c>
    </row>
    <row r="191" spans="1:13" ht="12">
      <c r="A191" s="57" t="s">
        <v>606</v>
      </c>
      <c r="B191" s="68" t="s">
        <v>583</v>
      </c>
      <c r="C191" s="154">
        <v>14000000</v>
      </c>
      <c r="D191" s="152">
        <f t="shared" si="40"/>
        <v>14560000</v>
      </c>
      <c r="E191" s="152">
        <f t="shared" si="47"/>
        <v>14923999.999999998</v>
      </c>
      <c r="F191" s="152">
        <f t="shared" si="47"/>
        <v>15297099.999999996</v>
      </c>
      <c r="G191" s="152">
        <f t="shared" si="47"/>
        <v>15679527.499999994</v>
      </c>
      <c r="H191" s="152">
        <f t="shared" si="47"/>
        <v>16071515.687499993</v>
      </c>
      <c r="I191" s="152">
        <f t="shared" si="47"/>
        <v>16473303.579687491</v>
      </c>
      <c r="J191" s="152">
        <f t="shared" si="47"/>
        <v>16885136.169179678</v>
      </c>
      <c r="K191" s="152">
        <f t="shared" si="47"/>
        <v>17307264.57340917</v>
      </c>
      <c r="L191" s="152">
        <f t="shared" si="45"/>
        <v>17739946.187744398</v>
      </c>
      <c r="M191" s="65"/>
    </row>
    <row r="192" spans="1:12" ht="12">
      <c r="A192" s="69" t="s">
        <v>198</v>
      </c>
      <c r="B192" s="75" t="s">
        <v>107</v>
      </c>
      <c r="C192" s="154">
        <f>+C193</f>
        <v>11800000</v>
      </c>
      <c r="D192" s="152">
        <f t="shared" si="40"/>
        <v>12272000</v>
      </c>
      <c r="E192" s="152">
        <f t="shared" si="47"/>
        <v>12578799.999999998</v>
      </c>
      <c r="F192" s="152">
        <f t="shared" si="47"/>
        <v>12893269.999999996</v>
      </c>
      <c r="G192" s="152">
        <f t="shared" si="47"/>
        <v>13215601.749999994</v>
      </c>
      <c r="H192" s="152">
        <f t="shared" si="47"/>
        <v>13545991.793749994</v>
      </c>
      <c r="I192" s="152">
        <f t="shared" si="47"/>
        <v>13884641.588593742</v>
      </c>
      <c r="J192" s="152">
        <f t="shared" si="47"/>
        <v>14231757.628308585</v>
      </c>
      <c r="K192" s="152">
        <f t="shared" si="47"/>
        <v>14587551.569016298</v>
      </c>
      <c r="L192" s="152">
        <f t="shared" si="45"/>
        <v>14952240.358241705</v>
      </c>
    </row>
    <row r="193" spans="1:12" ht="12">
      <c r="A193" s="57" t="s">
        <v>607</v>
      </c>
      <c r="B193" s="68" t="s">
        <v>445</v>
      </c>
      <c r="C193" s="154">
        <f>+C194</f>
        <v>11800000</v>
      </c>
      <c r="D193" s="152">
        <f t="shared" si="40"/>
        <v>12272000</v>
      </c>
      <c r="E193" s="152">
        <f t="shared" si="47"/>
        <v>12578799.999999998</v>
      </c>
      <c r="F193" s="152">
        <f t="shared" si="47"/>
        <v>12893269.999999996</v>
      </c>
      <c r="G193" s="152">
        <f t="shared" si="47"/>
        <v>13215601.749999994</v>
      </c>
      <c r="H193" s="152">
        <f t="shared" si="47"/>
        <v>13545991.793749994</v>
      </c>
      <c r="I193" s="152">
        <f t="shared" si="47"/>
        <v>13884641.588593742</v>
      </c>
      <c r="J193" s="152">
        <f t="shared" si="47"/>
        <v>14231757.628308585</v>
      </c>
      <c r="K193" s="152">
        <f t="shared" si="47"/>
        <v>14587551.569016298</v>
      </c>
      <c r="L193" s="152">
        <f t="shared" si="45"/>
        <v>14952240.358241705</v>
      </c>
    </row>
    <row r="194" spans="1:13" ht="12">
      <c r="A194" s="57" t="s">
        <v>608</v>
      </c>
      <c r="B194" s="68" t="s">
        <v>584</v>
      </c>
      <c r="C194" s="154">
        <v>11800000</v>
      </c>
      <c r="D194" s="152">
        <f t="shared" si="40"/>
        <v>12272000</v>
      </c>
      <c r="E194" s="152">
        <f t="shared" si="47"/>
        <v>12578799.999999998</v>
      </c>
      <c r="F194" s="152">
        <f t="shared" si="47"/>
        <v>12893269.999999996</v>
      </c>
      <c r="G194" s="152">
        <f t="shared" si="47"/>
        <v>13215601.749999994</v>
      </c>
      <c r="H194" s="152">
        <f t="shared" si="47"/>
        <v>13545991.793749994</v>
      </c>
      <c r="I194" s="152">
        <f t="shared" si="47"/>
        <v>13884641.588593742</v>
      </c>
      <c r="J194" s="152">
        <f t="shared" si="47"/>
        <v>14231757.628308585</v>
      </c>
      <c r="K194" s="152">
        <f t="shared" si="47"/>
        <v>14587551.569016298</v>
      </c>
      <c r="L194" s="152">
        <f t="shared" si="45"/>
        <v>14952240.358241705</v>
      </c>
      <c r="M194" s="65"/>
    </row>
    <row r="195" spans="1:12" ht="12">
      <c r="A195" s="69" t="s">
        <v>199</v>
      </c>
      <c r="B195" s="58" t="s">
        <v>609</v>
      </c>
      <c r="C195" s="159">
        <f>+C196</f>
        <v>136075000</v>
      </c>
      <c r="D195" s="152">
        <f t="shared" si="40"/>
        <v>141518000</v>
      </c>
      <c r="E195" s="152">
        <f t="shared" si="47"/>
        <v>145055950</v>
      </c>
      <c r="F195" s="152">
        <f t="shared" si="47"/>
        <v>148682348.75</v>
      </c>
      <c r="G195" s="152">
        <f t="shared" si="47"/>
        <v>152399407.46875</v>
      </c>
      <c r="H195" s="152">
        <f t="shared" si="47"/>
        <v>156209392.65546873</v>
      </c>
      <c r="I195" s="152">
        <f t="shared" si="47"/>
        <v>160114627.47185543</v>
      </c>
      <c r="J195" s="152">
        <f t="shared" si="47"/>
        <v>164117493.1586518</v>
      </c>
      <c r="K195" s="152">
        <f t="shared" si="47"/>
        <v>168220430.4876181</v>
      </c>
      <c r="L195" s="152">
        <f t="shared" si="45"/>
        <v>172425941.24980852</v>
      </c>
    </row>
    <row r="196" spans="1:12" ht="36">
      <c r="A196" s="69" t="s">
        <v>610</v>
      </c>
      <c r="B196" s="58" t="s">
        <v>437</v>
      </c>
      <c r="C196" s="159">
        <f>SUM(C197:C199)</f>
        <v>136075000</v>
      </c>
      <c r="D196" s="152">
        <f t="shared" si="40"/>
        <v>141518000</v>
      </c>
      <c r="E196" s="152">
        <f t="shared" si="47"/>
        <v>145055950</v>
      </c>
      <c r="F196" s="152">
        <f t="shared" si="47"/>
        <v>148682348.75</v>
      </c>
      <c r="G196" s="152">
        <f t="shared" si="47"/>
        <v>152399407.46875</v>
      </c>
      <c r="H196" s="152">
        <f t="shared" si="47"/>
        <v>156209392.65546873</v>
      </c>
      <c r="I196" s="152">
        <f t="shared" si="47"/>
        <v>160114627.47185543</v>
      </c>
      <c r="J196" s="152">
        <f t="shared" si="47"/>
        <v>164117493.1586518</v>
      </c>
      <c r="K196" s="152">
        <f t="shared" si="47"/>
        <v>168220430.4876181</v>
      </c>
      <c r="L196" s="152">
        <f t="shared" si="45"/>
        <v>172425941.24980852</v>
      </c>
    </row>
    <row r="197" spans="1:13" ht="48">
      <c r="A197" s="57" t="s">
        <v>611</v>
      </c>
      <c r="B197" s="68" t="s">
        <v>438</v>
      </c>
      <c r="C197" s="154">
        <v>63900000</v>
      </c>
      <c r="D197" s="152">
        <f t="shared" si="40"/>
        <v>66456000</v>
      </c>
      <c r="E197" s="152">
        <f t="shared" si="47"/>
        <v>68117400</v>
      </c>
      <c r="F197" s="152">
        <f t="shared" si="47"/>
        <v>69820335</v>
      </c>
      <c r="G197" s="152">
        <f t="shared" si="47"/>
        <v>71565843.375</v>
      </c>
      <c r="H197" s="152">
        <f t="shared" si="47"/>
        <v>73354989.459375</v>
      </c>
      <c r="I197" s="152">
        <f t="shared" si="47"/>
        <v>75188864.19585936</v>
      </c>
      <c r="J197" s="152">
        <f t="shared" si="47"/>
        <v>77068585.80075583</v>
      </c>
      <c r="K197" s="152">
        <f t="shared" si="47"/>
        <v>78995300.44577472</v>
      </c>
      <c r="L197" s="152">
        <f t="shared" si="45"/>
        <v>80970182.95691907</v>
      </c>
      <c r="M197" s="65"/>
    </row>
    <row r="198" spans="1:13" ht="12">
      <c r="A198" s="57" t="s">
        <v>612</v>
      </c>
      <c r="B198" s="68" t="s">
        <v>431</v>
      </c>
      <c r="C198" s="154">
        <v>40000000</v>
      </c>
      <c r="D198" s="152">
        <f t="shared" si="40"/>
        <v>41600000</v>
      </c>
      <c r="E198" s="152">
        <f t="shared" si="47"/>
        <v>42640000</v>
      </c>
      <c r="F198" s="152">
        <f t="shared" si="47"/>
        <v>43705999.99999999</v>
      </c>
      <c r="G198" s="152">
        <f t="shared" si="47"/>
        <v>44798649.999999985</v>
      </c>
      <c r="H198" s="152">
        <f t="shared" si="47"/>
        <v>45918616.24999998</v>
      </c>
      <c r="I198" s="152">
        <f t="shared" si="47"/>
        <v>47066581.65624997</v>
      </c>
      <c r="J198" s="152">
        <f t="shared" si="47"/>
        <v>48243246.197656214</v>
      </c>
      <c r="K198" s="152">
        <f t="shared" si="47"/>
        <v>49449327.35259762</v>
      </c>
      <c r="L198" s="152">
        <f t="shared" si="45"/>
        <v>50685560.53641255</v>
      </c>
      <c r="M198" s="65"/>
    </row>
    <row r="199" spans="1:13" ht="12">
      <c r="A199" s="57" t="s">
        <v>613</v>
      </c>
      <c r="B199" s="68" t="s">
        <v>439</v>
      </c>
      <c r="C199" s="154">
        <v>32175000</v>
      </c>
      <c r="D199" s="152">
        <f t="shared" si="40"/>
        <v>33462000</v>
      </c>
      <c r="E199" s="152">
        <f t="shared" si="47"/>
        <v>34298550</v>
      </c>
      <c r="F199" s="152">
        <f t="shared" si="47"/>
        <v>35156013.75</v>
      </c>
      <c r="G199" s="152">
        <f t="shared" si="47"/>
        <v>36034914.09375</v>
      </c>
      <c r="H199" s="152">
        <f t="shared" si="47"/>
        <v>36935786.946093746</v>
      </c>
      <c r="I199" s="152">
        <f t="shared" si="47"/>
        <v>37859181.61974609</v>
      </c>
      <c r="J199" s="152">
        <f t="shared" si="47"/>
        <v>38805661.16023974</v>
      </c>
      <c r="K199" s="152">
        <f t="shared" si="47"/>
        <v>39775802.68924573</v>
      </c>
      <c r="L199" s="152">
        <f t="shared" si="45"/>
        <v>40770197.75647687</v>
      </c>
      <c r="M199" s="65"/>
    </row>
    <row r="200" spans="1:12" ht="12">
      <c r="A200" s="69" t="s">
        <v>200</v>
      </c>
      <c r="B200" s="58" t="s">
        <v>541</v>
      </c>
      <c r="C200" s="159">
        <f>+C201</f>
        <v>14500000</v>
      </c>
      <c r="D200" s="152">
        <f t="shared" si="40"/>
        <v>15080000</v>
      </c>
      <c r="E200" s="152">
        <f t="shared" si="47"/>
        <v>15456999.999999998</v>
      </c>
      <c r="F200" s="152">
        <f t="shared" si="47"/>
        <v>15843424.999999996</v>
      </c>
      <c r="G200" s="152">
        <f t="shared" si="47"/>
        <v>16239510.624999994</v>
      </c>
      <c r="H200" s="152">
        <f t="shared" si="47"/>
        <v>16645498.390624993</v>
      </c>
      <c r="I200" s="152">
        <f t="shared" si="47"/>
        <v>17061635.850390617</v>
      </c>
      <c r="J200" s="152">
        <f t="shared" si="47"/>
        <v>17488176.74665038</v>
      </c>
      <c r="K200" s="152">
        <f t="shared" si="47"/>
        <v>17925381.165316638</v>
      </c>
      <c r="L200" s="152">
        <f t="shared" si="45"/>
        <v>18373515.69444955</v>
      </c>
    </row>
    <row r="201" spans="1:12" ht="12">
      <c r="A201" s="57" t="s">
        <v>614</v>
      </c>
      <c r="B201" s="58" t="s">
        <v>543</v>
      </c>
      <c r="C201" s="154">
        <v>14500000</v>
      </c>
      <c r="D201" s="152">
        <f t="shared" si="40"/>
        <v>15080000</v>
      </c>
      <c r="E201" s="152">
        <f t="shared" si="47"/>
        <v>15456999.999999998</v>
      </c>
      <c r="F201" s="152">
        <f t="shared" si="47"/>
        <v>15843424.999999996</v>
      </c>
      <c r="G201" s="152">
        <f t="shared" si="47"/>
        <v>16239510.624999994</v>
      </c>
      <c r="H201" s="152">
        <f t="shared" si="47"/>
        <v>16645498.390624993</v>
      </c>
      <c r="I201" s="152">
        <f t="shared" si="47"/>
        <v>17061635.850390617</v>
      </c>
      <c r="J201" s="152">
        <f t="shared" si="47"/>
        <v>17488176.74665038</v>
      </c>
      <c r="K201" s="152">
        <f t="shared" si="47"/>
        <v>17925381.165316638</v>
      </c>
      <c r="L201" s="152">
        <f t="shared" si="45"/>
        <v>18373515.69444955</v>
      </c>
    </row>
    <row r="202" spans="1:13" ht="24">
      <c r="A202" s="57" t="s">
        <v>615</v>
      </c>
      <c r="B202" s="68" t="s">
        <v>428</v>
      </c>
      <c r="C202" s="154">
        <v>14500000</v>
      </c>
      <c r="D202" s="152">
        <f t="shared" si="40"/>
        <v>15080000</v>
      </c>
      <c r="E202" s="152">
        <f t="shared" si="47"/>
        <v>15456999.999999998</v>
      </c>
      <c r="F202" s="152">
        <f t="shared" si="47"/>
        <v>15843424.999999996</v>
      </c>
      <c r="G202" s="152">
        <f t="shared" si="47"/>
        <v>16239510.624999994</v>
      </c>
      <c r="H202" s="152">
        <f t="shared" si="47"/>
        <v>16645498.390624993</v>
      </c>
      <c r="I202" s="152">
        <f t="shared" si="47"/>
        <v>17061635.850390617</v>
      </c>
      <c r="J202" s="152">
        <f t="shared" si="47"/>
        <v>17488176.74665038</v>
      </c>
      <c r="K202" s="152">
        <f t="shared" si="47"/>
        <v>17925381.165316638</v>
      </c>
      <c r="L202" s="152">
        <f t="shared" si="45"/>
        <v>18373515.69444955</v>
      </c>
      <c r="M202" s="65"/>
    </row>
    <row r="203" spans="1:12" ht="15" customHeight="1">
      <c r="A203" s="61"/>
      <c r="C203" s="160"/>
      <c r="D203" s="152">
        <f t="shared" si="40"/>
        <v>0</v>
      </c>
      <c r="E203" s="152">
        <f t="shared" si="47"/>
        <v>0</v>
      </c>
      <c r="F203" s="152">
        <f t="shared" si="47"/>
        <v>0</v>
      </c>
      <c r="G203" s="152">
        <f t="shared" si="47"/>
        <v>0</v>
      </c>
      <c r="H203" s="152">
        <f t="shared" si="47"/>
        <v>0</v>
      </c>
      <c r="I203" s="152">
        <f t="shared" si="47"/>
        <v>0</v>
      </c>
      <c r="J203" s="152">
        <f t="shared" si="47"/>
        <v>0</v>
      </c>
      <c r="K203" s="152">
        <f t="shared" si="47"/>
        <v>0</v>
      </c>
      <c r="L203" s="152">
        <f t="shared" si="45"/>
        <v>0</v>
      </c>
    </row>
    <row r="204" spans="1:12" ht="12">
      <c r="A204" s="69" t="s">
        <v>158</v>
      </c>
      <c r="B204" s="58" t="s">
        <v>549</v>
      </c>
      <c r="C204" s="159">
        <v>8567958000</v>
      </c>
      <c r="D204" s="152">
        <f t="shared" si="40"/>
        <v>8910676320</v>
      </c>
      <c r="E204" s="152">
        <f t="shared" si="47"/>
        <v>9133443228</v>
      </c>
      <c r="F204" s="152">
        <f t="shared" si="47"/>
        <v>9361779308.699999</v>
      </c>
      <c r="G204" s="152">
        <f t="shared" si="47"/>
        <v>9595823791.417498</v>
      </c>
      <c r="H204" s="152">
        <f t="shared" si="47"/>
        <v>9835719386.202934</v>
      </c>
      <c r="I204" s="152">
        <f t="shared" si="47"/>
        <v>10081612370.858007</v>
      </c>
      <c r="J204" s="152">
        <f t="shared" si="47"/>
        <v>10333652680.129457</v>
      </c>
      <c r="K204" s="152">
        <f t="shared" si="47"/>
        <v>10591993997.132692</v>
      </c>
      <c r="L204" s="152">
        <f t="shared" si="45"/>
        <v>10856793847.061008</v>
      </c>
    </row>
    <row r="205" spans="1:12" ht="12">
      <c r="A205" s="57" t="s">
        <v>545</v>
      </c>
      <c r="B205" s="58" t="s">
        <v>574</v>
      </c>
      <c r="C205" s="159">
        <f>+C206</f>
        <v>5381415195</v>
      </c>
      <c r="D205" s="152">
        <f t="shared" si="40"/>
        <v>5596671802.8</v>
      </c>
      <c r="E205" s="152">
        <f t="shared" si="47"/>
        <v>5736588597.87</v>
      </c>
      <c r="F205" s="152">
        <f t="shared" si="47"/>
        <v>5880003312.81675</v>
      </c>
      <c r="G205" s="152">
        <f t="shared" si="47"/>
        <v>6027003395.637168</v>
      </c>
      <c r="H205" s="152">
        <f t="shared" si="47"/>
        <v>6177678480.528096</v>
      </c>
      <c r="I205" s="152">
        <f t="shared" si="47"/>
        <v>6332120442.541298</v>
      </c>
      <c r="J205" s="152">
        <f t="shared" si="47"/>
        <v>6490423453.60483</v>
      </c>
      <c r="K205" s="152">
        <f t="shared" si="47"/>
        <v>6652684039.94495</v>
      </c>
      <c r="L205" s="152">
        <f aca="true" t="shared" si="48" ref="L205:L220">+K205*1.025</f>
        <v>6819001140.943573</v>
      </c>
    </row>
    <row r="206" spans="1:12" ht="12">
      <c r="A206" s="57" t="s">
        <v>546</v>
      </c>
      <c r="B206" s="58" t="s">
        <v>369</v>
      </c>
      <c r="C206" s="154">
        <f>+C207</f>
        <v>5381415195</v>
      </c>
      <c r="D206" s="152">
        <f aca="true" t="shared" si="49" ref="D206:D237">+C206*1.04</f>
        <v>5596671802.8</v>
      </c>
      <c r="E206" s="152">
        <f aca="true" t="shared" si="50" ref="E206:K237">+D206*1.025</f>
        <v>5736588597.87</v>
      </c>
      <c r="F206" s="152">
        <f t="shared" si="50"/>
        <v>5880003312.81675</v>
      </c>
      <c r="G206" s="152">
        <f t="shared" si="50"/>
        <v>6027003395.637168</v>
      </c>
      <c r="H206" s="152">
        <f t="shared" si="50"/>
        <v>6177678480.528096</v>
      </c>
      <c r="I206" s="152">
        <f t="shared" si="50"/>
        <v>6332120442.541298</v>
      </c>
      <c r="J206" s="152">
        <f t="shared" si="50"/>
        <v>6490423453.60483</v>
      </c>
      <c r="K206" s="152">
        <f t="shared" si="50"/>
        <v>6652684039.94495</v>
      </c>
      <c r="L206" s="152">
        <f t="shared" si="48"/>
        <v>6819001140.943573</v>
      </c>
    </row>
    <row r="207" spans="1:12" ht="12">
      <c r="A207" s="57" t="s">
        <v>547</v>
      </c>
      <c r="B207" s="68" t="s">
        <v>411</v>
      </c>
      <c r="C207" s="154">
        <f>+C208</f>
        <v>5381415195</v>
      </c>
      <c r="D207" s="152">
        <f t="shared" si="49"/>
        <v>5596671802.8</v>
      </c>
      <c r="E207" s="152">
        <f t="shared" si="50"/>
        <v>5736588597.87</v>
      </c>
      <c r="F207" s="152">
        <f t="shared" si="50"/>
        <v>5880003312.81675</v>
      </c>
      <c r="G207" s="152">
        <f t="shared" si="50"/>
        <v>6027003395.637168</v>
      </c>
      <c r="H207" s="152">
        <f t="shared" si="50"/>
        <v>6177678480.528096</v>
      </c>
      <c r="I207" s="152">
        <f t="shared" si="50"/>
        <v>6332120442.541298</v>
      </c>
      <c r="J207" s="152">
        <f t="shared" si="50"/>
        <v>6490423453.60483</v>
      </c>
      <c r="K207" s="152">
        <f t="shared" si="50"/>
        <v>6652684039.94495</v>
      </c>
      <c r="L207" s="152">
        <f t="shared" si="48"/>
        <v>6819001140.943573</v>
      </c>
    </row>
    <row r="208" spans="1:13" ht="12">
      <c r="A208" s="57" t="s">
        <v>548</v>
      </c>
      <c r="B208" s="68" t="s">
        <v>573</v>
      </c>
      <c r="C208" s="154">
        <v>5381415195</v>
      </c>
      <c r="D208" s="152">
        <f t="shared" si="49"/>
        <v>5596671802.8</v>
      </c>
      <c r="E208" s="152">
        <f t="shared" si="50"/>
        <v>5736588597.87</v>
      </c>
      <c r="F208" s="152">
        <f t="shared" si="50"/>
        <v>5880003312.81675</v>
      </c>
      <c r="G208" s="152">
        <f t="shared" si="50"/>
        <v>6027003395.637168</v>
      </c>
      <c r="H208" s="152">
        <f t="shared" si="50"/>
        <v>6177678480.528096</v>
      </c>
      <c r="I208" s="152">
        <f t="shared" si="50"/>
        <v>6332120442.541298</v>
      </c>
      <c r="J208" s="152">
        <f t="shared" si="50"/>
        <v>6490423453.60483</v>
      </c>
      <c r="K208" s="152">
        <f t="shared" si="50"/>
        <v>6652684039.94495</v>
      </c>
      <c r="L208" s="152">
        <f t="shared" si="48"/>
        <v>6819001140.943573</v>
      </c>
      <c r="M208" s="65"/>
    </row>
    <row r="209" spans="1:12" ht="12">
      <c r="A209" s="57" t="s">
        <v>551</v>
      </c>
      <c r="B209" s="76" t="s">
        <v>224</v>
      </c>
      <c r="C209" s="159">
        <f>+C210</f>
        <v>109085226</v>
      </c>
      <c r="D209" s="152">
        <f t="shared" si="49"/>
        <v>113448635.04</v>
      </c>
      <c r="E209" s="152">
        <f t="shared" si="50"/>
        <v>116284850.916</v>
      </c>
      <c r="F209" s="152">
        <f t="shared" si="50"/>
        <v>119191972.18889998</v>
      </c>
      <c r="G209" s="152">
        <f t="shared" si="50"/>
        <v>122171771.49362247</v>
      </c>
      <c r="H209" s="152">
        <f t="shared" si="50"/>
        <v>125226065.78096302</v>
      </c>
      <c r="I209" s="152">
        <f t="shared" si="50"/>
        <v>128356717.42548709</v>
      </c>
      <c r="J209" s="152">
        <f t="shared" si="50"/>
        <v>131565635.36112425</v>
      </c>
      <c r="K209" s="152">
        <f t="shared" si="50"/>
        <v>134854776.24515235</v>
      </c>
      <c r="L209" s="152">
        <f t="shared" si="48"/>
        <v>138226145.65128115</v>
      </c>
    </row>
    <row r="210" spans="1:12" ht="12">
      <c r="A210" s="57" t="s">
        <v>552</v>
      </c>
      <c r="B210" s="58" t="s">
        <v>369</v>
      </c>
      <c r="C210" s="154">
        <f>+C211</f>
        <v>109085226</v>
      </c>
      <c r="D210" s="152">
        <f t="shared" si="49"/>
        <v>113448635.04</v>
      </c>
      <c r="E210" s="152">
        <f t="shared" si="50"/>
        <v>116284850.916</v>
      </c>
      <c r="F210" s="152">
        <f t="shared" si="50"/>
        <v>119191972.18889998</v>
      </c>
      <c r="G210" s="152">
        <f t="shared" si="50"/>
        <v>122171771.49362247</v>
      </c>
      <c r="H210" s="152">
        <f t="shared" si="50"/>
        <v>125226065.78096302</v>
      </c>
      <c r="I210" s="152">
        <f t="shared" si="50"/>
        <v>128356717.42548709</v>
      </c>
      <c r="J210" s="152">
        <f t="shared" si="50"/>
        <v>131565635.36112425</v>
      </c>
      <c r="K210" s="152">
        <f t="shared" si="50"/>
        <v>134854776.24515235</v>
      </c>
      <c r="L210" s="152">
        <f t="shared" si="48"/>
        <v>138226145.65128115</v>
      </c>
    </row>
    <row r="211" spans="1:12" ht="12">
      <c r="A211" s="57" t="s">
        <v>553</v>
      </c>
      <c r="B211" s="68" t="s">
        <v>411</v>
      </c>
      <c r="C211" s="154">
        <f>+C212</f>
        <v>109085226</v>
      </c>
      <c r="D211" s="152">
        <f t="shared" si="49"/>
        <v>113448635.04</v>
      </c>
      <c r="E211" s="152">
        <f t="shared" si="50"/>
        <v>116284850.916</v>
      </c>
      <c r="F211" s="152">
        <f t="shared" si="50"/>
        <v>119191972.18889998</v>
      </c>
      <c r="G211" s="152">
        <f t="shared" si="50"/>
        <v>122171771.49362247</v>
      </c>
      <c r="H211" s="152">
        <f t="shared" si="50"/>
        <v>125226065.78096302</v>
      </c>
      <c r="I211" s="152">
        <f t="shared" si="50"/>
        <v>128356717.42548709</v>
      </c>
      <c r="J211" s="152">
        <f t="shared" si="50"/>
        <v>131565635.36112425</v>
      </c>
      <c r="K211" s="152">
        <f t="shared" si="50"/>
        <v>134854776.24515235</v>
      </c>
      <c r="L211" s="152">
        <f t="shared" si="48"/>
        <v>138226145.65128115</v>
      </c>
    </row>
    <row r="212" spans="1:13" ht="12">
      <c r="A212" s="57" t="s">
        <v>554</v>
      </c>
      <c r="B212" s="68" t="s">
        <v>573</v>
      </c>
      <c r="C212" s="154">
        <v>109085226</v>
      </c>
      <c r="D212" s="152">
        <f t="shared" si="49"/>
        <v>113448635.04</v>
      </c>
      <c r="E212" s="152">
        <f t="shared" si="50"/>
        <v>116284850.916</v>
      </c>
      <c r="F212" s="152">
        <f t="shared" si="50"/>
        <v>119191972.18889998</v>
      </c>
      <c r="G212" s="152">
        <f t="shared" si="50"/>
        <v>122171771.49362247</v>
      </c>
      <c r="H212" s="152">
        <f t="shared" si="50"/>
        <v>125226065.78096302</v>
      </c>
      <c r="I212" s="152">
        <f t="shared" si="50"/>
        <v>128356717.42548709</v>
      </c>
      <c r="J212" s="152">
        <f t="shared" si="50"/>
        <v>131565635.36112425</v>
      </c>
      <c r="K212" s="152">
        <f t="shared" si="50"/>
        <v>134854776.24515235</v>
      </c>
      <c r="L212" s="152">
        <f t="shared" si="48"/>
        <v>138226145.65128115</v>
      </c>
      <c r="M212" s="65"/>
    </row>
    <row r="213" spans="1:12" ht="12">
      <c r="A213" s="57" t="s">
        <v>555</v>
      </c>
      <c r="B213" s="58" t="s">
        <v>147</v>
      </c>
      <c r="C213" s="159">
        <f>+C214</f>
        <v>160552107</v>
      </c>
      <c r="D213" s="152">
        <f t="shared" si="49"/>
        <v>166974191.28</v>
      </c>
      <c r="E213" s="152">
        <f t="shared" si="50"/>
        <v>171148546.06199998</v>
      </c>
      <c r="F213" s="152">
        <f t="shared" si="50"/>
        <v>175427259.71354997</v>
      </c>
      <c r="G213" s="152">
        <f t="shared" si="50"/>
        <v>179812941.2063887</v>
      </c>
      <c r="H213" s="152">
        <f t="shared" si="50"/>
        <v>184308264.73654842</v>
      </c>
      <c r="I213" s="152">
        <f t="shared" si="50"/>
        <v>188915971.3549621</v>
      </c>
      <c r="J213" s="152">
        <f t="shared" si="50"/>
        <v>193638870.63883615</v>
      </c>
      <c r="K213" s="152">
        <f t="shared" si="50"/>
        <v>198479842.40480703</v>
      </c>
      <c r="L213" s="152">
        <f t="shared" si="48"/>
        <v>203441838.4649272</v>
      </c>
    </row>
    <row r="214" spans="1:12" ht="12">
      <c r="A214" s="57" t="s">
        <v>556</v>
      </c>
      <c r="B214" s="58" t="s">
        <v>369</v>
      </c>
      <c r="C214" s="154">
        <f>+C215</f>
        <v>160552107</v>
      </c>
      <c r="D214" s="152">
        <f t="shared" si="49"/>
        <v>166974191.28</v>
      </c>
      <c r="E214" s="152">
        <f t="shared" si="50"/>
        <v>171148546.06199998</v>
      </c>
      <c r="F214" s="152">
        <f t="shared" si="50"/>
        <v>175427259.71354997</v>
      </c>
      <c r="G214" s="152">
        <f t="shared" si="50"/>
        <v>179812941.2063887</v>
      </c>
      <c r="H214" s="152">
        <f t="shared" si="50"/>
        <v>184308264.73654842</v>
      </c>
      <c r="I214" s="152">
        <f t="shared" si="50"/>
        <v>188915971.3549621</v>
      </c>
      <c r="J214" s="152">
        <f t="shared" si="50"/>
        <v>193638870.63883615</v>
      </c>
      <c r="K214" s="152">
        <f t="shared" si="50"/>
        <v>198479842.40480703</v>
      </c>
      <c r="L214" s="152">
        <f t="shared" si="48"/>
        <v>203441838.4649272</v>
      </c>
    </row>
    <row r="215" spans="1:12" ht="12">
      <c r="A215" s="57" t="s">
        <v>557</v>
      </c>
      <c r="B215" s="68" t="s">
        <v>411</v>
      </c>
      <c r="C215" s="154">
        <f>+C216</f>
        <v>160552107</v>
      </c>
      <c r="D215" s="152">
        <f t="shared" si="49"/>
        <v>166974191.28</v>
      </c>
      <c r="E215" s="152">
        <f t="shared" si="50"/>
        <v>171148546.06199998</v>
      </c>
      <c r="F215" s="152">
        <f t="shared" si="50"/>
        <v>175427259.71354997</v>
      </c>
      <c r="G215" s="152">
        <f t="shared" si="50"/>
        <v>179812941.2063887</v>
      </c>
      <c r="H215" s="152">
        <f t="shared" si="50"/>
        <v>184308264.73654842</v>
      </c>
      <c r="I215" s="152">
        <f t="shared" si="50"/>
        <v>188915971.3549621</v>
      </c>
      <c r="J215" s="152">
        <f t="shared" si="50"/>
        <v>193638870.63883615</v>
      </c>
      <c r="K215" s="152">
        <f t="shared" si="50"/>
        <v>198479842.40480703</v>
      </c>
      <c r="L215" s="152">
        <f t="shared" si="48"/>
        <v>203441838.4649272</v>
      </c>
    </row>
    <row r="216" spans="1:13" ht="12">
      <c r="A216" s="57" t="s">
        <v>558</v>
      </c>
      <c r="B216" s="68" t="s">
        <v>573</v>
      </c>
      <c r="C216" s="154">
        <v>160552107</v>
      </c>
      <c r="D216" s="152">
        <f t="shared" si="49"/>
        <v>166974191.28</v>
      </c>
      <c r="E216" s="152">
        <f t="shared" si="50"/>
        <v>171148546.06199998</v>
      </c>
      <c r="F216" s="152">
        <f t="shared" si="50"/>
        <v>175427259.71354997</v>
      </c>
      <c r="G216" s="152">
        <f t="shared" si="50"/>
        <v>179812941.2063887</v>
      </c>
      <c r="H216" s="152">
        <f t="shared" si="50"/>
        <v>184308264.73654842</v>
      </c>
      <c r="I216" s="152">
        <f t="shared" si="50"/>
        <v>188915971.3549621</v>
      </c>
      <c r="J216" s="152">
        <f t="shared" si="50"/>
        <v>193638870.63883615</v>
      </c>
      <c r="K216" s="152">
        <f t="shared" si="50"/>
        <v>198479842.40480703</v>
      </c>
      <c r="L216" s="152">
        <f t="shared" si="48"/>
        <v>203441838.4649272</v>
      </c>
      <c r="M216" s="65"/>
    </row>
    <row r="217" spans="1:12" ht="12">
      <c r="A217" s="57" t="s">
        <v>559</v>
      </c>
      <c r="B217" s="76" t="s">
        <v>572</v>
      </c>
      <c r="C217" s="159">
        <f>+C218</f>
        <v>4219000000</v>
      </c>
      <c r="D217" s="152">
        <f t="shared" si="49"/>
        <v>4387760000</v>
      </c>
      <c r="E217" s="152">
        <f t="shared" si="50"/>
        <v>4497454000</v>
      </c>
      <c r="F217" s="152">
        <f t="shared" si="50"/>
        <v>4609890350</v>
      </c>
      <c r="G217" s="152">
        <f t="shared" si="50"/>
        <v>4725137608.75</v>
      </c>
      <c r="H217" s="152">
        <f t="shared" si="50"/>
        <v>4843266048.96875</v>
      </c>
      <c r="I217" s="152">
        <f t="shared" si="50"/>
        <v>4964347700.192968</v>
      </c>
      <c r="J217" s="152">
        <f t="shared" si="50"/>
        <v>5088456392.697792</v>
      </c>
      <c r="K217" s="152">
        <f t="shared" si="50"/>
        <v>5215667802.515237</v>
      </c>
      <c r="L217" s="152">
        <f t="shared" si="48"/>
        <v>5346059497.578117</v>
      </c>
    </row>
    <row r="218" spans="1:12" ht="12">
      <c r="A218" s="57" t="s">
        <v>560</v>
      </c>
      <c r="B218" s="58" t="s">
        <v>369</v>
      </c>
      <c r="C218" s="154">
        <f>+C219</f>
        <v>4219000000</v>
      </c>
      <c r="D218" s="152">
        <f t="shared" si="49"/>
        <v>4387760000</v>
      </c>
      <c r="E218" s="152">
        <f t="shared" si="50"/>
        <v>4497454000</v>
      </c>
      <c r="F218" s="152">
        <f t="shared" si="50"/>
        <v>4609890350</v>
      </c>
      <c r="G218" s="152">
        <f t="shared" si="50"/>
        <v>4725137608.75</v>
      </c>
      <c r="H218" s="152">
        <f t="shared" si="50"/>
        <v>4843266048.96875</v>
      </c>
      <c r="I218" s="152">
        <f t="shared" si="50"/>
        <v>4964347700.192968</v>
      </c>
      <c r="J218" s="152">
        <f t="shared" si="50"/>
        <v>5088456392.697792</v>
      </c>
      <c r="K218" s="152">
        <f t="shared" si="50"/>
        <v>5215667802.515237</v>
      </c>
      <c r="L218" s="152">
        <f t="shared" si="48"/>
        <v>5346059497.578117</v>
      </c>
    </row>
    <row r="219" spans="1:12" ht="12">
      <c r="A219" s="57" t="s">
        <v>561</v>
      </c>
      <c r="B219" s="68" t="s">
        <v>411</v>
      </c>
      <c r="C219" s="154">
        <f>+C220</f>
        <v>4219000000</v>
      </c>
      <c r="D219" s="152">
        <f t="shared" si="49"/>
        <v>4387760000</v>
      </c>
      <c r="E219" s="152">
        <f t="shared" si="50"/>
        <v>4497454000</v>
      </c>
      <c r="F219" s="152">
        <f t="shared" si="50"/>
        <v>4609890350</v>
      </c>
      <c r="G219" s="152">
        <f t="shared" si="50"/>
        <v>4725137608.75</v>
      </c>
      <c r="H219" s="152">
        <f t="shared" si="50"/>
        <v>4843266048.96875</v>
      </c>
      <c r="I219" s="152">
        <f t="shared" si="50"/>
        <v>4964347700.192968</v>
      </c>
      <c r="J219" s="152">
        <f t="shared" si="50"/>
        <v>5088456392.697792</v>
      </c>
      <c r="K219" s="152">
        <f t="shared" si="50"/>
        <v>5215667802.515237</v>
      </c>
      <c r="L219" s="152">
        <f t="shared" si="48"/>
        <v>5346059497.578117</v>
      </c>
    </row>
    <row r="220" spans="1:13" ht="12">
      <c r="A220" s="57" t="s">
        <v>562</v>
      </c>
      <c r="B220" s="68" t="s">
        <v>412</v>
      </c>
      <c r="C220" s="154">
        <v>4219000000</v>
      </c>
      <c r="D220" s="152">
        <f t="shared" si="49"/>
        <v>4387760000</v>
      </c>
      <c r="E220" s="152">
        <f t="shared" si="50"/>
        <v>4497454000</v>
      </c>
      <c r="F220" s="152">
        <f t="shared" si="50"/>
        <v>4609890350</v>
      </c>
      <c r="G220" s="152">
        <f t="shared" si="50"/>
        <v>4725137608.75</v>
      </c>
      <c r="H220" s="152">
        <f t="shared" si="50"/>
        <v>4843266048.96875</v>
      </c>
      <c r="I220" s="152">
        <f t="shared" si="50"/>
        <v>4964347700.192968</v>
      </c>
      <c r="J220" s="152">
        <f t="shared" si="50"/>
        <v>5088456392.697792</v>
      </c>
      <c r="K220" s="152">
        <f t="shared" si="50"/>
        <v>5215667802.515237</v>
      </c>
      <c r="L220" s="152">
        <f t="shared" si="48"/>
        <v>5346059497.578117</v>
      </c>
      <c r="M220" s="65"/>
    </row>
    <row r="221" spans="1:12" ht="12">
      <c r="A221" s="57" t="s">
        <v>563</v>
      </c>
      <c r="B221" s="76" t="s">
        <v>103</v>
      </c>
      <c r="C221" s="159">
        <f>+C222</f>
        <v>67900000</v>
      </c>
      <c r="D221" s="152">
        <f t="shared" si="49"/>
        <v>70616000</v>
      </c>
      <c r="E221" s="152">
        <f t="shared" si="50"/>
        <v>72381400</v>
      </c>
      <c r="F221" s="152">
        <f t="shared" si="50"/>
        <v>74190935</v>
      </c>
      <c r="G221" s="152">
        <f t="shared" si="50"/>
        <v>76045708.375</v>
      </c>
      <c r="H221" s="152">
        <f t="shared" si="50"/>
        <v>77946851.084375</v>
      </c>
      <c r="I221" s="152">
        <f t="shared" si="50"/>
        <v>79895522.36148436</v>
      </c>
      <c r="J221" s="152">
        <f t="shared" si="50"/>
        <v>81892910.42052147</v>
      </c>
      <c r="K221" s="152">
        <f t="shared" si="50"/>
        <v>83940233.18103449</v>
      </c>
      <c r="L221" s="152">
        <f aca="true" t="shared" si="51" ref="L221:L238">+K221*1.025</f>
        <v>86038739.01056035</v>
      </c>
    </row>
    <row r="222" spans="1:12" ht="12">
      <c r="A222" s="57" t="s">
        <v>564</v>
      </c>
      <c r="B222" s="68" t="s">
        <v>369</v>
      </c>
      <c r="C222" s="154">
        <f>+C223</f>
        <v>67900000</v>
      </c>
      <c r="D222" s="152">
        <f t="shared" si="49"/>
        <v>70616000</v>
      </c>
      <c r="E222" s="152">
        <f t="shared" si="50"/>
        <v>72381400</v>
      </c>
      <c r="F222" s="152">
        <f t="shared" si="50"/>
        <v>74190935</v>
      </c>
      <c r="G222" s="152">
        <f t="shared" si="50"/>
        <v>76045708.375</v>
      </c>
      <c r="H222" s="152">
        <f t="shared" si="50"/>
        <v>77946851.084375</v>
      </c>
      <c r="I222" s="152">
        <f t="shared" si="50"/>
        <v>79895522.36148436</v>
      </c>
      <c r="J222" s="152">
        <f t="shared" si="50"/>
        <v>81892910.42052147</v>
      </c>
      <c r="K222" s="152">
        <f t="shared" si="50"/>
        <v>83940233.18103449</v>
      </c>
      <c r="L222" s="152">
        <f t="shared" si="51"/>
        <v>86038739.01056035</v>
      </c>
    </row>
    <row r="223" spans="1:12" ht="12">
      <c r="A223" s="57" t="s">
        <v>565</v>
      </c>
      <c r="B223" s="68" t="s">
        <v>411</v>
      </c>
      <c r="C223" s="154">
        <f>+C224</f>
        <v>67900000</v>
      </c>
      <c r="D223" s="152">
        <f t="shared" si="49"/>
        <v>70616000</v>
      </c>
      <c r="E223" s="152">
        <f t="shared" si="50"/>
        <v>72381400</v>
      </c>
      <c r="F223" s="152">
        <f t="shared" si="50"/>
        <v>74190935</v>
      </c>
      <c r="G223" s="152">
        <f t="shared" si="50"/>
        <v>76045708.375</v>
      </c>
      <c r="H223" s="152">
        <f t="shared" si="50"/>
        <v>77946851.084375</v>
      </c>
      <c r="I223" s="152">
        <f t="shared" si="50"/>
        <v>79895522.36148436</v>
      </c>
      <c r="J223" s="152">
        <f t="shared" si="50"/>
        <v>81892910.42052147</v>
      </c>
      <c r="K223" s="152">
        <f t="shared" si="50"/>
        <v>83940233.18103449</v>
      </c>
      <c r="L223" s="152">
        <f t="shared" si="51"/>
        <v>86038739.01056035</v>
      </c>
    </row>
    <row r="224" spans="1:13" ht="12">
      <c r="A224" s="57" t="s">
        <v>566</v>
      </c>
      <c r="B224" s="68" t="s">
        <v>412</v>
      </c>
      <c r="C224" s="154">
        <v>67900000</v>
      </c>
      <c r="D224" s="152">
        <f t="shared" si="49"/>
        <v>70616000</v>
      </c>
      <c r="E224" s="152">
        <f t="shared" si="50"/>
        <v>72381400</v>
      </c>
      <c r="F224" s="152">
        <f t="shared" si="50"/>
        <v>74190935</v>
      </c>
      <c r="G224" s="152">
        <f t="shared" si="50"/>
        <v>76045708.375</v>
      </c>
      <c r="H224" s="152">
        <f t="shared" si="50"/>
        <v>77946851.084375</v>
      </c>
      <c r="I224" s="152">
        <f t="shared" si="50"/>
        <v>79895522.36148436</v>
      </c>
      <c r="J224" s="152">
        <f t="shared" si="50"/>
        <v>81892910.42052147</v>
      </c>
      <c r="K224" s="152">
        <f t="shared" si="50"/>
        <v>83940233.18103449</v>
      </c>
      <c r="L224" s="152">
        <f t="shared" si="51"/>
        <v>86038739.01056035</v>
      </c>
      <c r="M224" s="65"/>
    </row>
    <row r="225" spans="1:13" s="66" customFormat="1" ht="12">
      <c r="A225" s="69" t="s">
        <v>567</v>
      </c>
      <c r="B225" s="76" t="s">
        <v>108</v>
      </c>
      <c r="C225" s="159">
        <f>+C226</f>
        <v>198769000</v>
      </c>
      <c r="D225" s="152">
        <f t="shared" si="49"/>
        <v>206719760</v>
      </c>
      <c r="E225" s="152">
        <f t="shared" si="50"/>
        <v>211887753.99999997</v>
      </c>
      <c r="F225" s="152">
        <f t="shared" si="50"/>
        <v>217184947.84999996</v>
      </c>
      <c r="G225" s="152">
        <f t="shared" si="50"/>
        <v>222614571.54624996</v>
      </c>
      <c r="H225" s="152">
        <f t="shared" si="50"/>
        <v>228179935.8349062</v>
      </c>
      <c r="I225" s="152">
        <f t="shared" si="50"/>
        <v>233884434.2307788</v>
      </c>
      <c r="J225" s="152">
        <f t="shared" si="50"/>
        <v>239731545.08654827</v>
      </c>
      <c r="K225" s="152">
        <f t="shared" si="50"/>
        <v>245724833.71371195</v>
      </c>
      <c r="L225" s="152">
        <f t="shared" si="51"/>
        <v>251867954.55655473</v>
      </c>
      <c r="M225" s="65"/>
    </row>
    <row r="226" spans="1:12" ht="12">
      <c r="A226" s="57" t="s">
        <v>568</v>
      </c>
      <c r="B226" s="68" t="s">
        <v>369</v>
      </c>
      <c r="C226" s="154">
        <f>+C227</f>
        <v>198769000</v>
      </c>
      <c r="D226" s="152">
        <f t="shared" si="49"/>
        <v>206719760</v>
      </c>
      <c r="E226" s="152">
        <f t="shared" si="50"/>
        <v>211887753.99999997</v>
      </c>
      <c r="F226" s="152">
        <f t="shared" si="50"/>
        <v>217184947.84999996</v>
      </c>
      <c r="G226" s="152">
        <f t="shared" si="50"/>
        <v>222614571.54624996</v>
      </c>
      <c r="H226" s="152">
        <f t="shared" si="50"/>
        <v>228179935.8349062</v>
      </c>
      <c r="I226" s="152">
        <f t="shared" si="50"/>
        <v>233884434.2307788</v>
      </c>
      <c r="J226" s="152">
        <f t="shared" si="50"/>
        <v>239731545.08654827</v>
      </c>
      <c r="K226" s="152">
        <f t="shared" si="50"/>
        <v>245724833.71371195</v>
      </c>
      <c r="L226" s="152">
        <f t="shared" si="51"/>
        <v>251867954.55655473</v>
      </c>
    </row>
    <row r="227" spans="1:12" ht="12">
      <c r="A227" s="57" t="s">
        <v>569</v>
      </c>
      <c r="B227" s="68" t="s">
        <v>411</v>
      </c>
      <c r="C227" s="154">
        <f>+C228</f>
        <v>198769000</v>
      </c>
      <c r="D227" s="152">
        <f t="shared" si="49"/>
        <v>206719760</v>
      </c>
      <c r="E227" s="152">
        <f t="shared" si="50"/>
        <v>211887753.99999997</v>
      </c>
      <c r="F227" s="152">
        <f t="shared" si="50"/>
        <v>217184947.84999996</v>
      </c>
      <c r="G227" s="152">
        <f t="shared" si="50"/>
        <v>222614571.54624996</v>
      </c>
      <c r="H227" s="152">
        <f t="shared" si="50"/>
        <v>228179935.8349062</v>
      </c>
      <c r="I227" s="152">
        <f t="shared" si="50"/>
        <v>233884434.2307788</v>
      </c>
      <c r="J227" s="152">
        <f t="shared" si="50"/>
        <v>239731545.08654827</v>
      </c>
      <c r="K227" s="152">
        <f t="shared" si="50"/>
        <v>245724833.71371195</v>
      </c>
      <c r="L227" s="152">
        <f t="shared" si="51"/>
        <v>251867954.55655473</v>
      </c>
    </row>
    <row r="228" spans="1:13" ht="12">
      <c r="A228" s="57" t="s">
        <v>570</v>
      </c>
      <c r="B228" s="68" t="s">
        <v>412</v>
      </c>
      <c r="C228" s="153">
        <v>198769000</v>
      </c>
      <c r="D228" s="152">
        <f t="shared" si="49"/>
        <v>206719760</v>
      </c>
      <c r="E228" s="152">
        <f t="shared" si="50"/>
        <v>211887753.99999997</v>
      </c>
      <c r="F228" s="152">
        <f t="shared" si="50"/>
        <v>217184947.84999996</v>
      </c>
      <c r="G228" s="152">
        <f t="shared" si="50"/>
        <v>222614571.54624996</v>
      </c>
      <c r="H228" s="152">
        <f t="shared" si="50"/>
        <v>228179935.8349062</v>
      </c>
      <c r="I228" s="152">
        <f t="shared" si="50"/>
        <v>233884434.2307788</v>
      </c>
      <c r="J228" s="152">
        <f t="shared" si="50"/>
        <v>239731545.08654827</v>
      </c>
      <c r="K228" s="152">
        <f t="shared" si="50"/>
        <v>245724833.71371195</v>
      </c>
      <c r="L228" s="152">
        <f t="shared" si="51"/>
        <v>251867954.55655473</v>
      </c>
      <c r="M228" s="65"/>
    </row>
    <row r="229" spans="1:13" s="66" customFormat="1" ht="24">
      <c r="A229" s="69" t="s">
        <v>575</v>
      </c>
      <c r="B229" s="76" t="s">
        <v>571</v>
      </c>
      <c r="C229" s="159">
        <f>+C230</f>
        <v>100000</v>
      </c>
      <c r="D229" s="152">
        <f t="shared" si="49"/>
        <v>104000</v>
      </c>
      <c r="E229" s="152">
        <f t="shared" si="50"/>
        <v>106599.99999999999</v>
      </c>
      <c r="F229" s="152">
        <f t="shared" si="50"/>
        <v>109264.99999999997</v>
      </c>
      <c r="G229" s="152">
        <f t="shared" si="50"/>
        <v>111996.62499999996</v>
      </c>
      <c r="H229" s="152">
        <f t="shared" si="50"/>
        <v>114796.54062499995</v>
      </c>
      <c r="I229" s="152">
        <f t="shared" si="50"/>
        <v>117666.45414062493</v>
      </c>
      <c r="J229" s="152">
        <f t="shared" si="50"/>
        <v>120608.11549414054</v>
      </c>
      <c r="K229" s="152">
        <f t="shared" si="50"/>
        <v>123623.31838149404</v>
      </c>
      <c r="L229" s="152">
        <f t="shared" si="51"/>
        <v>126713.90134103138</v>
      </c>
      <c r="M229" s="65"/>
    </row>
    <row r="230" spans="1:12" ht="12">
      <c r="A230" s="57" t="s">
        <v>576</v>
      </c>
      <c r="B230" s="68" t="s">
        <v>369</v>
      </c>
      <c r="C230" s="154">
        <f>+C231</f>
        <v>100000</v>
      </c>
      <c r="D230" s="152">
        <f t="shared" si="49"/>
        <v>104000</v>
      </c>
      <c r="E230" s="152">
        <f t="shared" si="50"/>
        <v>106599.99999999999</v>
      </c>
      <c r="F230" s="152">
        <f t="shared" si="50"/>
        <v>109264.99999999997</v>
      </c>
      <c r="G230" s="152">
        <f t="shared" si="50"/>
        <v>111996.62499999996</v>
      </c>
      <c r="H230" s="152">
        <f t="shared" si="50"/>
        <v>114796.54062499995</v>
      </c>
      <c r="I230" s="152">
        <f t="shared" si="50"/>
        <v>117666.45414062493</v>
      </c>
      <c r="J230" s="152">
        <f t="shared" si="50"/>
        <v>120608.11549414054</v>
      </c>
      <c r="K230" s="152">
        <f t="shared" si="50"/>
        <v>123623.31838149404</v>
      </c>
      <c r="L230" s="152">
        <f t="shared" si="51"/>
        <v>126713.90134103138</v>
      </c>
    </row>
    <row r="231" spans="1:12" ht="12">
      <c r="A231" s="57" t="s">
        <v>577</v>
      </c>
      <c r="B231" s="68" t="s">
        <v>411</v>
      </c>
      <c r="C231" s="154">
        <f>+C232</f>
        <v>100000</v>
      </c>
      <c r="D231" s="152">
        <f t="shared" si="49"/>
        <v>104000</v>
      </c>
      <c r="E231" s="152">
        <f t="shared" si="50"/>
        <v>106599.99999999999</v>
      </c>
      <c r="F231" s="152">
        <f t="shared" si="50"/>
        <v>109264.99999999997</v>
      </c>
      <c r="G231" s="152">
        <f t="shared" si="50"/>
        <v>111996.62499999996</v>
      </c>
      <c r="H231" s="152">
        <f t="shared" si="50"/>
        <v>114796.54062499995</v>
      </c>
      <c r="I231" s="152">
        <f t="shared" si="50"/>
        <v>117666.45414062493</v>
      </c>
      <c r="J231" s="152">
        <f t="shared" si="50"/>
        <v>120608.11549414054</v>
      </c>
      <c r="K231" s="152">
        <f t="shared" si="50"/>
        <v>123623.31838149404</v>
      </c>
      <c r="L231" s="152">
        <f t="shared" si="51"/>
        <v>126713.90134103138</v>
      </c>
    </row>
    <row r="232" spans="1:13" ht="12">
      <c r="A232" s="57" t="s">
        <v>578</v>
      </c>
      <c r="B232" s="68" t="s">
        <v>412</v>
      </c>
      <c r="C232" s="154">
        <v>100000</v>
      </c>
      <c r="D232" s="152">
        <f t="shared" si="49"/>
        <v>104000</v>
      </c>
      <c r="E232" s="152">
        <f t="shared" si="50"/>
        <v>106599.99999999999</v>
      </c>
      <c r="F232" s="152">
        <f t="shared" si="50"/>
        <v>109264.99999999997</v>
      </c>
      <c r="G232" s="152">
        <f t="shared" si="50"/>
        <v>111996.62499999996</v>
      </c>
      <c r="H232" s="152">
        <f t="shared" si="50"/>
        <v>114796.54062499995</v>
      </c>
      <c r="I232" s="152">
        <f t="shared" si="50"/>
        <v>117666.45414062493</v>
      </c>
      <c r="J232" s="152">
        <f t="shared" si="50"/>
        <v>120608.11549414054</v>
      </c>
      <c r="K232" s="152">
        <f t="shared" si="50"/>
        <v>123623.31838149404</v>
      </c>
      <c r="L232" s="152">
        <f t="shared" si="51"/>
        <v>126713.90134103138</v>
      </c>
      <c r="M232" s="65"/>
    </row>
    <row r="233" spans="1:13" s="66" customFormat="1" ht="12">
      <c r="A233" s="69" t="s">
        <v>579</v>
      </c>
      <c r="B233" s="29" t="s">
        <v>389</v>
      </c>
      <c r="C233" s="159">
        <f>+C234</f>
        <v>1000</v>
      </c>
      <c r="D233" s="152">
        <f t="shared" si="49"/>
        <v>1040</v>
      </c>
      <c r="E233" s="152">
        <f t="shared" si="50"/>
        <v>1066</v>
      </c>
      <c r="F233" s="152">
        <f t="shared" si="50"/>
        <v>1092.6499999999999</v>
      </c>
      <c r="G233" s="152">
        <f t="shared" si="50"/>
        <v>1119.9662499999997</v>
      </c>
      <c r="H233" s="152">
        <f t="shared" si="50"/>
        <v>1147.9654062499997</v>
      </c>
      <c r="I233" s="152">
        <f t="shared" si="50"/>
        <v>1176.6645414062496</v>
      </c>
      <c r="J233" s="152">
        <f t="shared" si="50"/>
        <v>1206.0811549414057</v>
      </c>
      <c r="K233" s="152">
        <f t="shared" si="50"/>
        <v>1236.2331838149407</v>
      </c>
      <c r="L233" s="152">
        <f t="shared" si="51"/>
        <v>1267.1390134103142</v>
      </c>
      <c r="M233" s="65"/>
    </row>
    <row r="234" spans="1:12" ht="12">
      <c r="A234" s="57" t="s">
        <v>580</v>
      </c>
      <c r="B234" s="68" t="s">
        <v>369</v>
      </c>
      <c r="C234" s="154">
        <f>+C235</f>
        <v>1000</v>
      </c>
      <c r="D234" s="152">
        <f t="shared" si="49"/>
        <v>1040</v>
      </c>
      <c r="E234" s="152">
        <f t="shared" si="50"/>
        <v>1066</v>
      </c>
      <c r="F234" s="152">
        <f t="shared" si="50"/>
        <v>1092.6499999999999</v>
      </c>
      <c r="G234" s="152">
        <f t="shared" si="50"/>
        <v>1119.9662499999997</v>
      </c>
      <c r="H234" s="152">
        <f t="shared" si="50"/>
        <v>1147.9654062499997</v>
      </c>
      <c r="I234" s="152">
        <f t="shared" si="50"/>
        <v>1176.6645414062496</v>
      </c>
      <c r="J234" s="152">
        <f t="shared" si="50"/>
        <v>1206.0811549414057</v>
      </c>
      <c r="K234" s="152">
        <f t="shared" si="50"/>
        <v>1236.2331838149407</v>
      </c>
      <c r="L234" s="152">
        <f t="shared" si="51"/>
        <v>1267.1390134103142</v>
      </c>
    </row>
    <row r="235" spans="1:12" ht="12">
      <c r="A235" s="57" t="s">
        <v>581</v>
      </c>
      <c r="B235" s="68" t="s">
        <v>411</v>
      </c>
      <c r="C235" s="154">
        <f>+C236</f>
        <v>1000</v>
      </c>
      <c r="D235" s="152">
        <f t="shared" si="49"/>
        <v>1040</v>
      </c>
      <c r="E235" s="152">
        <f t="shared" si="50"/>
        <v>1066</v>
      </c>
      <c r="F235" s="152">
        <f t="shared" si="50"/>
        <v>1092.6499999999999</v>
      </c>
      <c r="G235" s="152">
        <f t="shared" si="50"/>
        <v>1119.9662499999997</v>
      </c>
      <c r="H235" s="152">
        <f t="shared" si="50"/>
        <v>1147.9654062499997</v>
      </c>
      <c r="I235" s="152">
        <f t="shared" si="50"/>
        <v>1176.6645414062496</v>
      </c>
      <c r="J235" s="152">
        <f t="shared" si="50"/>
        <v>1206.0811549414057</v>
      </c>
      <c r="K235" s="152">
        <f t="shared" si="50"/>
        <v>1236.2331838149407</v>
      </c>
      <c r="L235" s="152">
        <f t="shared" si="51"/>
        <v>1267.1390134103142</v>
      </c>
    </row>
    <row r="236" spans="1:13" ht="12">
      <c r="A236" s="57" t="s">
        <v>582</v>
      </c>
      <c r="B236" s="68" t="s">
        <v>412</v>
      </c>
      <c r="C236" s="154">
        <v>1000</v>
      </c>
      <c r="D236" s="152">
        <f t="shared" si="49"/>
        <v>1040</v>
      </c>
      <c r="E236" s="152">
        <f t="shared" si="50"/>
        <v>1066</v>
      </c>
      <c r="F236" s="152">
        <f t="shared" si="50"/>
        <v>1092.6499999999999</v>
      </c>
      <c r="G236" s="152">
        <f t="shared" si="50"/>
        <v>1119.9662499999997</v>
      </c>
      <c r="H236" s="152">
        <f t="shared" si="50"/>
        <v>1147.9654062499997</v>
      </c>
      <c r="I236" s="152">
        <f t="shared" si="50"/>
        <v>1176.6645414062496</v>
      </c>
      <c r="J236" s="152">
        <f t="shared" si="50"/>
        <v>1206.0811549414057</v>
      </c>
      <c r="K236" s="152">
        <f t="shared" si="50"/>
        <v>1236.2331838149407</v>
      </c>
      <c r="L236" s="152">
        <f t="shared" si="51"/>
        <v>1267.1390134103142</v>
      </c>
      <c r="M236" s="65"/>
    </row>
    <row r="237" spans="1:12" ht="12">
      <c r="A237" s="61"/>
      <c r="C237" s="160"/>
      <c r="D237" s="152">
        <f t="shared" si="49"/>
        <v>0</v>
      </c>
      <c r="E237" s="152">
        <f t="shared" si="50"/>
        <v>0</v>
      </c>
      <c r="F237" s="152">
        <f t="shared" si="50"/>
        <v>0</v>
      </c>
      <c r="G237" s="152">
        <f t="shared" si="50"/>
        <v>0</v>
      </c>
      <c r="H237" s="152">
        <f t="shared" si="50"/>
        <v>0</v>
      </c>
      <c r="I237" s="152">
        <f t="shared" si="50"/>
        <v>0</v>
      </c>
      <c r="J237" s="152">
        <f t="shared" si="50"/>
        <v>0</v>
      </c>
      <c r="K237" s="152">
        <f>+J237*1.025</f>
        <v>0</v>
      </c>
      <c r="L237" s="152">
        <f t="shared" si="51"/>
        <v>0</v>
      </c>
    </row>
    <row r="238" spans="1:13" s="66" customFormat="1" ht="12">
      <c r="A238" s="69" t="s">
        <v>544</v>
      </c>
      <c r="B238" s="76" t="s">
        <v>109</v>
      </c>
      <c r="C238" s="159">
        <v>747004000</v>
      </c>
      <c r="D238" s="152">
        <f>+C238*1.04-749593920</f>
        <v>27290240</v>
      </c>
      <c r="E238" s="152">
        <f>+D238*1.025+3074085+2050915</f>
        <v>33097495.999999996</v>
      </c>
      <c r="F238" s="152">
        <f>+E238*1.025+5125000</f>
        <v>39049933.39999999</v>
      </c>
      <c r="G238" s="152">
        <f>+F238*1.025+5125000</f>
        <v>45151181.734999985</v>
      </c>
      <c r="H238" s="152">
        <f>+G238*1.025+5125000</f>
        <v>51404961.27837498</v>
      </c>
      <c r="I238" s="152">
        <f>+H238*1.025</f>
        <v>52690085.31033435</v>
      </c>
      <c r="J238" s="152">
        <f>+I238*1.025</f>
        <v>54007337.443092704</v>
      </c>
      <c r="K238" s="152">
        <f>+J238*1.025</f>
        <v>55357520.879170015</v>
      </c>
      <c r="L238" s="152">
        <f t="shared" si="51"/>
        <v>56741458.90114926</v>
      </c>
      <c r="M238" s="65"/>
    </row>
    <row r="239" spans="1:12" ht="12">
      <c r="A239" s="57" t="s">
        <v>587</v>
      </c>
      <c r="B239" s="75" t="s">
        <v>108</v>
      </c>
      <c r="C239" s="154">
        <f aca="true" t="shared" si="52" ref="C239:L239">+C240+C241</f>
        <v>2000</v>
      </c>
      <c r="D239" s="154">
        <f t="shared" si="52"/>
        <v>2080</v>
      </c>
      <c r="E239" s="154">
        <f t="shared" si="52"/>
        <v>2163.2000000000003</v>
      </c>
      <c r="F239" s="154">
        <f t="shared" si="52"/>
        <v>2249.7280000000005</v>
      </c>
      <c r="G239" s="154">
        <f t="shared" si="52"/>
        <v>2339.7171200000007</v>
      </c>
      <c r="H239" s="154">
        <f t="shared" si="52"/>
        <v>2433.3058048000007</v>
      </c>
      <c r="I239" s="154">
        <f t="shared" si="52"/>
        <v>2530.6380369920007</v>
      </c>
      <c r="J239" s="154">
        <f t="shared" si="52"/>
        <v>2631.863558471681</v>
      </c>
      <c r="K239" s="154">
        <f t="shared" si="52"/>
        <v>2737.138100810548</v>
      </c>
      <c r="L239" s="154">
        <f t="shared" si="52"/>
        <v>2846.62362484297</v>
      </c>
    </row>
    <row r="240" spans="1:13" ht="12">
      <c r="A240" s="57" t="s">
        <v>591</v>
      </c>
      <c r="B240" s="34" t="s">
        <v>372</v>
      </c>
      <c r="C240" s="154">
        <v>1000</v>
      </c>
      <c r="D240" s="154">
        <f>+C240*1.04</f>
        <v>1040</v>
      </c>
      <c r="E240" s="154">
        <f aca="true" t="shared" si="53" ref="E240:K240">+D240*1.04</f>
        <v>1081.6000000000001</v>
      </c>
      <c r="F240" s="154">
        <f t="shared" si="53"/>
        <v>1124.8640000000003</v>
      </c>
      <c r="G240" s="154">
        <f t="shared" si="53"/>
        <v>1169.8585600000004</v>
      </c>
      <c r="H240" s="154">
        <f t="shared" si="53"/>
        <v>1216.6529024000004</v>
      </c>
      <c r="I240" s="154">
        <f t="shared" si="53"/>
        <v>1265.3190184960004</v>
      </c>
      <c r="J240" s="154">
        <f t="shared" si="53"/>
        <v>1315.9317792358404</v>
      </c>
      <c r="K240" s="154">
        <f t="shared" si="53"/>
        <v>1368.569050405274</v>
      </c>
      <c r="L240" s="154">
        <f>+K240*1.04</f>
        <v>1423.311812421485</v>
      </c>
      <c r="M240" s="65"/>
    </row>
    <row r="241" spans="1:13" ht="12">
      <c r="A241" s="57" t="s">
        <v>592</v>
      </c>
      <c r="B241" s="34" t="s">
        <v>374</v>
      </c>
      <c r="C241" s="154">
        <v>1000</v>
      </c>
      <c r="D241" s="154">
        <f aca="true" t="shared" si="54" ref="D241:K244">+C241*1.04</f>
        <v>1040</v>
      </c>
      <c r="E241" s="154">
        <f t="shared" si="54"/>
        <v>1081.6000000000001</v>
      </c>
      <c r="F241" s="154">
        <f t="shared" si="54"/>
        <v>1124.8640000000003</v>
      </c>
      <c r="G241" s="154">
        <f t="shared" si="54"/>
        <v>1169.8585600000004</v>
      </c>
      <c r="H241" s="154">
        <f t="shared" si="54"/>
        <v>1216.6529024000004</v>
      </c>
      <c r="I241" s="154">
        <f t="shared" si="54"/>
        <v>1265.3190184960004</v>
      </c>
      <c r="J241" s="154">
        <f t="shared" si="54"/>
        <v>1315.9317792358404</v>
      </c>
      <c r="K241" s="154">
        <f t="shared" si="54"/>
        <v>1368.569050405274</v>
      </c>
      <c r="L241" s="154">
        <f>+K241*1.04</f>
        <v>1423.311812421485</v>
      </c>
      <c r="M241" s="65"/>
    </row>
    <row r="242" spans="1:12" ht="12">
      <c r="A242" s="57" t="s">
        <v>588</v>
      </c>
      <c r="B242" s="29" t="s">
        <v>589</v>
      </c>
      <c r="C242" s="154">
        <f>SUM(C243:C245)</f>
        <v>7000</v>
      </c>
      <c r="D242" s="154">
        <f t="shared" si="54"/>
        <v>7280</v>
      </c>
      <c r="E242" s="154">
        <f t="shared" si="54"/>
        <v>7571.2</v>
      </c>
      <c r="F242" s="154">
        <f t="shared" si="54"/>
        <v>7874.048</v>
      </c>
      <c r="G242" s="154">
        <f t="shared" si="54"/>
        <v>8189.00992</v>
      </c>
      <c r="H242" s="154">
        <f t="shared" si="54"/>
        <v>8516.5703168</v>
      </c>
      <c r="I242" s="154">
        <f t="shared" si="54"/>
        <v>8857.233129472</v>
      </c>
      <c r="J242" s="154">
        <f t="shared" si="54"/>
        <v>9211.522454650882</v>
      </c>
      <c r="K242" s="154">
        <f t="shared" si="54"/>
        <v>9579.983352836916</v>
      </c>
      <c r="L242" s="154">
        <f>+K242*1.04</f>
        <v>9963.182686950393</v>
      </c>
    </row>
    <row r="243" spans="1:13" ht="12">
      <c r="A243" s="57" t="s">
        <v>593</v>
      </c>
      <c r="B243" s="34" t="s">
        <v>376</v>
      </c>
      <c r="C243" s="154">
        <v>3000</v>
      </c>
      <c r="D243" s="154">
        <f t="shared" si="54"/>
        <v>3120</v>
      </c>
      <c r="E243" s="154">
        <f t="shared" si="54"/>
        <v>3244.8</v>
      </c>
      <c r="F243" s="154">
        <f t="shared" si="54"/>
        <v>3374.592</v>
      </c>
      <c r="G243" s="154">
        <f t="shared" si="54"/>
        <v>3509.5756800000004</v>
      </c>
      <c r="H243" s="154">
        <f t="shared" si="54"/>
        <v>3649.9587072000004</v>
      </c>
      <c r="I243" s="154">
        <f t="shared" si="54"/>
        <v>3795.9570554880006</v>
      </c>
      <c r="J243" s="154">
        <f t="shared" si="54"/>
        <v>3947.795337707521</v>
      </c>
      <c r="K243" s="154">
        <f t="shared" si="54"/>
        <v>4105.707151215822</v>
      </c>
      <c r="L243" s="154">
        <f>+K243*1.04</f>
        <v>4269.935437264455</v>
      </c>
      <c r="M243" s="65"/>
    </row>
    <row r="244" spans="1:13" ht="12">
      <c r="A244" s="57" t="s">
        <v>594</v>
      </c>
      <c r="B244" s="34" t="s">
        <v>380</v>
      </c>
      <c r="C244" s="154">
        <v>2000</v>
      </c>
      <c r="D244" s="154">
        <f t="shared" si="54"/>
        <v>2080</v>
      </c>
      <c r="E244" s="154">
        <f t="shared" si="54"/>
        <v>2163.2000000000003</v>
      </c>
      <c r="F244" s="154">
        <f t="shared" si="54"/>
        <v>2249.7280000000005</v>
      </c>
      <c r="G244" s="154">
        <f t="shared" si="54"/>
        <v>2339.7171200000007</v>
      </c>
      <c r="H244" s="154">
        <f t="shared" si="54"/>
        <v>2433.3058048000007</v>
      </c>
      <c r="I244" s="154">
        <f t="shared" si="54"/>
        <v>2530.6380369920007</v>
      </c>
      <c r="J244" s="154">
        <f t="shared" si="54"/>
        <v>2631.863558471681</v>
      </c>
      <c r="K244" s="154">
        <f t="shared" si="54"/>
        <v>2737.138100810548</v>
      </c>
      <c r="L244" s="154">
        <f>+K244*1.04</f>
        <v>2846.62362484297</v>
      </c>
      <c r="M244" s="65"/>
    </row>
    <row r="245" spans="1:13" ht="24">
      <c r="A245" s="57" t="s">
        <v>595</v>
      </c>
      <c r="B245" s="34" t="s">
        <v>385</v>
      </c>
      <c r="C245" s="154">
        <v>2000</v>
      </c>
      <c r="D245" s="154">
        <f>+C245</f>
        <v>2000</v>
      </c>
      <c r="E245" s="154">
        <f aca="true" t="shared" si="55" ref="E245:K245">+D245</f>
        <v>2000</v>
      </c>
      <c r="F245" s="154">
        <f t="shared" si="55"/>
        <v>2000</v>
      </c>
      <c r="G245" s="154">
        <f t="shared" si="55"/>
        <v>2000</v>
      </c>
      <c r="H245" s="154">
        <f t="shared" si="55"/>
        <v>2000</v>
      </c>
      <c r="I245" s="154">
        <f t="shared" si="55"/>
        <v>2000</v>
      </c>
      <c r="J245" s="154">
        <f t="shared" si="55"/>
        <v>2000</v>
      </c>
      <c r="K245" s="154">
        <f t="shared" si="55"/>
        <v>2000</v>
      </c>
      <c r="L245" s="154">
        <f>+K245</f>
        <v>2000</v>
      </c>
      <c r="M245" s="65"/>
    </row>
    <row r="246" spans="1:12" ht="12">
      <c r="A246" s="57" t="s">
        <v>590</v>
      </c>
      <c r="B246" s="29" t="s">
        <v>389</v>
      </c>
      <c r="C246" s="154">
        <f>+C247</f>
        <v>4000</v>
      </c>
      <c r="D246" s="154">
        <f aca="true" t="shared" si="56" ref="D246:K249">+C246</f>
        <v>4000</v>
      </c>
      <c r="E246" s="154">
        <f t="shared" si="56"/>
        <v>4000</v>
      </c>
      <c r="F246" s="154">
        <f t="shared" si="56"/>
        <v>4000</v>
      </c>
      <c r="G246" s="154">
        <f t="shared" si="56"/>
        <v>4000</v>
      </c>
      <c r="H246" s="154">
        <f t="shared" si="56"/>
        <v>4000</v>
      </c>
      <c r="I246" s="154">
        <f t="shared" si="56"/>
        <v>4000</v>
      </c>
      <c r="J246" s="154">
        <f t="shared" si="56"/>
        <v>4000</v>
      </c>
      <c r="K246" s="154">
        <f t="shared" si="56"/>
        <v>4000</v>
      </c>
      <c r="L246" s="154">
        <f>+K246</f>
        <v>4000</v>
      </c>
    </row>
    <row r="247" spans="1:12" ht="12">
      <c r="A247" s="57" t="s">
        <v>596</v>
      </c>
      <c r="B247" s="68" t="s">
        <v>369</v>
      </c>
      <c r="C247" s="154">
        <f>+C248</f>
        <v>4000</v>
      </c>
      <c r="D247" s="154">
        <f t="shared" si="56"/>
        <v>4000</v>
      </c>
      <c r="E247" s="154">
        <f t="shared" si="56"/>
        <v>4000</v>
      </c>
      <c r="F247" s="154">
        <f t="shared" si="56"/>
        <v>4000</v>
      </c>
      <c r="G247" s="154">
        <f t="shared" si="56"/>
        <v>4000</v>
      </c>
      <c r="H247" s="154">
        <f t="shared" si="56"/>
        <v>4000</v>
      </c>
      <c r="I247" s="154">
        <f t="shared" si="56"/>
        <v>4000</v>
      </c>
      <c r="J247" s="154">
        <f t="shared" si="56"/>
        <v>4000</v>
      </c>
      <c r="K247" s="154">
        <f t="shared" si="56"/>
        <v>4000</v>
      </c>
      <c r="L247" s="154">
        <f>+K247</f>
        <v>4000</v>
      </c>
    </row>
    <row r="248" spans="1:12" ht="12">
      <c r="A248" s="57" t="s">
        <v>597</v>
      </c>
      <c r="B248" s="68" t="s">
        <v>411</v>
      </c>
      <c r="C248" s="154">
        <f>+C249</f>
        <v>4000</v>
      </c>
      <c r="D248" s="154">
        <f t="shared" si="56"/>
        <v>4000</v>
      </c>
      <c r="E248" s="154">
        <f t="shared" si="56"/>
        <v>4000</v>
      </c>
      <c r="F248" s="154">
        <f t="shared" si="56"/>
        <v>4000</v>
      </c>
      <c r="G248" s="154">
        <f t="shared" si="56"/>
        <v>4000</v>
      </c>
      <c r="H248" s="154">
        <f t="shared" si="56"/>
        <v>4000</v>
      </c>
      <c r="I248" s="154">
        <f t="shared" si="56"/>
        <v>4000</v>
      </c>
      <c r="J248" s="154">
        <f t="shared" si="56"/>
        <v>4000</v>
      </c>
      <c r="K248" s="154">
        <f t="shared" si="56"/>
        <v>4000</v>
      </c>
      <c r="L248" s="154">
        <f>+K248</f>
        <v>4000</v>
      </c>
    </row>
    <row r="249" spans="1:13" ht="15.75" customHeight="1">
      <c r="A249" s="147" t="s">
        <v>598</v>
      </c>
      <c r="B249" s="148" t="s">
        <v>412</v>
      </c>
      <c r="C249" s="162">
        <v>4000</v>
      </c>
      <c r="D249" s="154">
        <f t="shared" si="56"/>
        <v>4000</v>
      </c>
      <c r="E249" s="154">
        <f t="shared" si="56"/>
        <v>4000</v>
      </c>
      <c r="F249" s="154">
        <f t="shared" si="56"/>
        <v>4000</v>
      </c>
      <c r="G249" s="154">
        <f t="shared" si="56"/>
        <v>4000</v>
      </c>
      <c r="H249" s="154">
        <f t="shared" si="56"/>
        <v>4000</v>
      </c>
      <c r="I249" s="154">
        <f t="shared" si="56"/>
        <v>4000</v>
      </c>
      <c r="J249" s="154">
        <f t="shared" si="56"/>
        <v>4000</v>
      </c>
      <c r="K249" s="154">
        <f t="shared" si="56"/>
        <v>4000</v>
      </c>
      <c r="L249" s="154">
        <f>+K249</f>
        <v>4000</v>
      </c>
      <c r="M249" s="65"/>
    </row>
    <row r="250" spans="1:12" ht="12">
      <c r="A250" s="69" t="s">
        <v>802</v>
      </c>
      <c r="B250" s="58" t="s">
        <v>787</v>
      </c>
      <c r="C250" s="159">
        <v>223356000</v>
      </c>
      <c r="D250" s="154">
        <v>205000000</v>
      </c>
      <c r="E250" s="154">
        <v>205000000</v>
      </c>
      <c r="F250" s="154">
        <v>205000000</v>
      </c>
      <c r="G250" s="154">
        <v>205000000</v>
      </c>
      <c r="H250" s="154">
        <v>0</v>
      </c>
      <c r="I250" s="154">
        <v>0</v>
      </c>
      <c r="J250" s="154">
        <v>0</v>
      </c>
      <c r="K250" s="154">
        <v>0</v>
      </c>
      <c r="L250" s="154">
        <v>0</v>
      </c>
    </row>
  </sheetData>
  <sheetProtection/>
  <mergeCells count="3">
    <mergeCell ref="A3:B3"/>
    <mergeCell ref="A2:B2"/>
    <mergeCell ref="A4:B4"/>
  </mergeCells>
  <printOptions/>
  <pageMargins left="0.4330708661417323" right="0.4330708661417323" top="0.8267716535433072" bottom="0.7086614173228347" header="0.15748031496062992" footer="0"/>
  <pageSetup horizontalDpi="600" verticalDpi="600" orientation="landscape" paperSize="9" scale="75" r:id="rId1"/>
  <headerFooter alignWithMargins="0">
    <oddHeader>&amp;C&amp;"Arial,Negrita"FORMULARIO ÚNICO TERRITORIAL - FUT -
CONCEPTOS GASTOS DE INVERSIÓN</oddHeader>
    <oddFooter>&amp;CPágina &amp;P de &amp;N</oddFooter>
  </headerFooter>
</worksheet>
</file>

<file path=xl/worksheets/sheet3.xml><?xml version="1.0" encoding="utf-8"?>
<worksheet xmlns="http://schemas.openxmlformats.org/spreadsheetml/2006/main" xmlns:r="http://schemas.openxmlformats.org/officeDocument/2006/relationships">
  <dimension ref="A1:E23"/>
  <sheetViews>
    <sheetView zoomScalePageLayoutView="0" workbookViewId="0" topLeftCell="A1">
      <selection activeCell="D22" sqref="D22"/>
    </sheetView>
  </sheetViews>
  <sheetFormatPr defaultColWidth="11.421875" defaultRowHeight="12.75"/>
  <cols>
    <col min="1" max="1" width="65.00390625" style="4" customWidth="1"/>
    <col min="2" max="2" width="16.57421875" style="3" bestFit="1" customWidth="1"/>
    <col min="3" max="3" width="2.57421875" style="3" customWidth="1"/>
    <col min="4" max="4" width="12.28125" style="4" bestFit="1" customWidth="1"/>
    <col min="5" max="5" width="16.57421875" style="6" bestFit="1" customWidth="1"/>
    <col min="6" max="16384" width="11.421875" style="4" customWidth="1"/>
  </cols>
  <sheetData>
    <row r="1" spans="1:2" ht="12.75">
      <c r="A1" s="346" t="s">
        <v>234</v>
      </c>
      <c r="B1" s="346"/>
    </row>
    <row r="2" spans="1:2" ht="12.75">
      <c r="A2" s="346" t="s">
        <v>235</v>
      </c>
      <c r="B2" s="346"/>
    </row>
    <row r="3" spans="1:2" ht="12.75">
      <c r="A3" s="346" t="s">
        <v>236</v>
      </c>
      <c r="B3" s="346"/>
    </row>
    <row r="4" spans="1:2" ht="12.75">
      <c r="A4" s="346" t="s">
        <v>237</v>
      </c>
      <c r="B4" s="346"/>
    </row>
    <row r="5" ht="13.5" thickBot="1"/>
    <row r="6" spans="1:5" ht="13.5" thickBot="1">
      <c r="A6" s="1" t="s">
        <v>248</v>
      </c>
      <c r="B6" s="2">
        <v>559702</v>
      </c>
      <c r="C6" s="3">
        <v>0.045</v>
      </c>
      <c r="E6" s="4"/>
    </row>
    <row r="7" ht="13.5" thickBot="1">
      <c r="E7" s="4"/>
    </row>
    <row r="8" spans="1:5" ht="13.5" thickBot="1">
      <c r="A8" s="5" t="s">
        <v>238</v>
      </c>
      <c r="D8" s="6"/>
      <c r="E8" s="4"/>
    </row>
    <row r="9" spans="1:5" ht="12.75">
      <c r="A9" s="7"/>
      <c r="B9" s="8"/>
      <c r="C9" s="3">
        <v>1.06</v>
      </c>
      <c r="E9" s="4"/>
    </row>
    <row r="10" spans="1:5" ht="12.75">
      <c r="A10" s="7" t="s">
        <v>249</v>
      </c>
      <c r="B10" s="9">
        <v>95064</v>
      </c>
      <c r="E10" s="4"/>
    </row>
    <row r="11" spans="1:5" ht="12.75">
      <c r="A11" s="10" t="s">
        <v>239</v>
      </c>
      <c r="B11" s="9">
        <v>13</v>
      </c>
      <c r="E11" s="4"/>
    </row>
    <row r="12" spans="1:5" ht="12.75">
      <c r="A12" s="10" t="s">
        <v>240</v>
      </c>
      <c r="B12" s="9">
        <v>90</v>
      </c>
      <c r="E12" s="4"/>
    </row>
    <row r="13" spans="1:5" ht="12.75">
      <c r="A13" s="10" t="s">
        <v>241</v>
      </c>
      <c r="B13" s="9"/>
      <c r="D13" s="20"/>
      <c r="E13" s="21"/>
    </row>
    <row r="14" spans="1:2" ht="31.5" customHeight="1" thickBot="1">
      <c r="A14" s="11" t="s">
        <v>250</v>
      </c>
      <c r="B14" s="12">
        <v>1393592000</v>
      </c>
    </row>
    <row r="15" ht="13.5" thickBot="1">
      <c r="E15" s="4"/>
    </row>
    <row r="16" spans="1:5" ht="12.75">
      <c r="A16" s="13" t="s">
        <v>242</v>
      </c>
      <c r="B16" s="14">
        <v>0.015</v>
      </c>
      <c r="E16" s="4"/>
    </row>
    <row r="17" spans="1:5" ht="13.5" thickBot="1">
      <c r="A17" s="15" t="s">
        <v>243</v>
      </c>
      <c r="B17" s="16">
        <f>B14*B16</f>
        <v>20903880</v>
      </c>
      <c r="E17" s="4"/>
    </row>
    <row r="18" ht="13.5" thickBot="1">
      <c r="E18" s="4"/>
    </row>
    <row r="19" spans="1:5" ht="13.5" thickBot="1">
      <c r="A19" s="1" t="s">
        <v>244</v>
      </c>
      <c r="B19" s="2">
        <f>B13+B17</f>
        <v>20903880</v>
      </c>
      <c r="E19" s="4"/>
    </row>
    <row r="20" ht="13.5" thickBot="1">
      <c r="E20" s="4"/>
    </row>
    <row r="21" spans="1:5" ht="13.5" thickBot="1">
      <c r="A21" s="1" t="s">
        <v>245</v>
      </c>
      <c r="E21" s="4"/>
    </row>
    <row r="22" spans="1:5" ht="13.5" thickBot="1">
      <c r="A22" s="13" t="s">
        <v>246</v>
      </c>
      <c r="B22" s="17">
        <v>150</v>
      </c>
      <c r="E22" s="4"/>
    </row>
    <row r="23" spans="1:5" ht="13.5" thickBot="1">
      <c r="A23" s="15" t="s">
        <v>247</v>
      </c>
      <c r="B23" s="2">
        <f>B6*B22</f>
        <v>83955300</v>
      </c>
      <c r="E23" s="4"/>
    </row>
  </sheetData>
  <sheetProtection/>
  <mergeCells count="4">
    <mergeCell ref="A1:B1"/>
    <mergeCell ref="A2:B2"/>
    <mergeCell ref="A3:B3"/>
    <mergeCell ref="A4:B4"/>
  </mergeCells>
  <printOptions/>
  <pageMargins left="0.75" right="0.75" top="1" bottom="1" header="0" footer="0"/>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E37"/>
  <sheetViews>
    <sheetView zoomScalePageLayoutView="0" workbookViewId="0" topLeftCell="A7">
      <selection activeCell="B26" sqref="B26"/>
    </sheetView>
  </sheetViews>
  <sheetFormatPr defaultColWidth="11.421875" defaultRowHeight="12.75"/>
  <cols>
    <col min="1" max="1" width="65.00390625" style="4" customWidth="1"/>
    <col min="2" max="2" width="16.57421875" style="3" bestFit="1" customWidth="1"/>
    <col min="3" max="3" width="2.57421875" style="3" customWidth="1"/>
    <col min="4" max="4" width="12.28125" style="4" bestFit="1" customWidth="1"/>
    <col min="5" max="5" width="13.8515625" style="6" bestFit="1" customWidth="1"/>
    <col min="6" max="16384" width="11.421875" style="4" customWidth="1"/>
  </cols>
  <sheetData>
    <row r="1" spans="1:2" ht="12.75">
      <c r="A1" s="346" t="s">
        <v>234</v>
      </c>
      <c r="B1" s="346"/>
    </row>
    <row r="2" spans="1:2" ht="12.75">
      <c r="A2" s="346" t="s">
        <v>235</v>
      </c>
      <c r="B2" s="346"/>
    </row>
    <row r="3" spans="1:2" ht="12.75">
      <c r="A3" s="346" t="s">
        <v>236</v>
      </c>
      <c r="B3" s="346"/>
    </row>
    <row r="4" spans="1:2" ht="12.75">
      <c r="A4" s="346" t="s">
        <v>237</v>
      </c>
      <c r="B4" s="346"/>
    </row>
    <row r="5" ht="13.5" thickBot="1"/>
    <row r="6" spans="1:5" ht="13.5" thickBot="1">
      <c r="A6" s="1" t="s">
        <v>248</v>
      </c>
      <c r="B6" s="2">
        <v>559702</v>
      </c>
      <c r="C6" s="3">
        <v>0.045</v>
      </c>
      <c r="E6" s="4"/>
    </row>
    <row r="7" ht="13.5" thickBot="1">
      <c r="E7" s="4"/>
    </row>
    <row r="8" spans="1:5" ht="13.5" thickBot="1">
      <c r="A8" s="5" t="s">
        <v>238</v>
      </c>
      <c r="D8" s="6"/>
      <c r="E8" s="4"/>
    </row>
    <row r="9" spans="1:5" ht="12.75">
      <c r="A9" s="7"/>
      <c r="B9" s="8"/>
      <c r="C9" s="3">
        <v>1.06</v>
      </c>
      <c r="E9" s="4"/>
    </row>
    <row r="10" spans="1:5" ht="12.75">
      <c r="A10" s="7" t="s">
        <v>249</v>
      </c>
      <c r="B10" s="9">
        <v>95064</v>
      </c>
      <c r="E10" s="4"/>
    </row>
    <row r="11" spans="1:5" ht="12.75">
      <c r="A11" s="10" t="s">
        <v>239</v>
      </c>
      <c r="B11" s="9">
        <v>13</v>
      </c>
      <c r="E11" s="4"/>
    </row>
    <row r="12" spans="1:5" ht="12.75">
      <c r="A12" s="10" t="s">
        <v>240</v>
      </c>
      <c r="B12" s="9">
        <v>90</v>
      </c>
      <c r="E12" s="4"/>
    </row>
    <row r="13" spans="1:5" ht="12.75">
      <c r="A13" s="10" t="s">
        <v>241</v>
      </c>
      <c r="B13" s="9">
        <f>B10*B11*B12</f>
        <v>111224880</v>
      </c>
      <c r="E13" s="4"/>
    </row>
    <row r="14" spans="1:5" ht="31.5" customHeight="1" thickBot="1">
      <c r="A14" s="11" t="s">
        <v>250</v>
      </c>
      <c r="B14" s="12">
        <f>+'ORGANOS DE CONTROL'!B14</f>
        <v>1393592000</v>
      </c>
      <c r="E14" s="4"/>
    </row>
    <row r="15" ht="13.5" thickBot="1">
      <c r="E15" s="4"/>
    </row>
    <row r="16" spans="1:5" ht="12.75">
      <c r="A16" s="13" t="s">
        <v>242</v>
      </c>
      <c r="B16" s="14">
        <v>0.015</v>
      </c>
      <c r="E16" s="4"/>
    </row>
    <row r="17" spans="1:5" ht="13.5" thickBot="1">
      <c r="A17" s="15" t="s">
        <v>243</v>
      </c>
      <c r="B17" s="16">
        <f>B14*B16</f>
        <v>20903880</v>
      </c>
      <c r="E17" s="4"/>
    </row>
    <row r="18" ht="13.5" thickBot="1">
      <c r="E18" s="4"/>
    </row>
    <row r="19" spans="1:5" ht="13.5" thickBot="1">
      <c r="A19" s="1" t="s">
        <v>244</v>
      </c>
      <c r="B19" s="2">
        <f>B13+B17</f>
        <v>132128760</v>
      </c>
      <c r="E19" s="4"/>
    </row>
    <row r="20" ht="13.5" thickBot="1">
      <c r="E20" s="4"/>
    </row>
    <row r="21" spans="1:5" ht="13.5" thickBot="1">
      <c r="A21" s="1" t="s">
        <v>245</v>
      </c>
      <c r="E21" s="4"/>
    </row>
    <row r="22" spans="1:5" ht="13.5" thickBot="1">
      <c r="A22" s="13" t="s">
        <v>246</v>
      </c>
      <c r="B22" s="17">
        <v>150</v>
      </c>
      <c r="E22" s="4"/>
    </row>
    <row r="23" spans="1:5" ht="13.5" thickBot="1">
      <c r="A23" s="15" t="s">
        <v>247</v>
      </c>
      <c r="B23" s="2">
        <f>B6*B22</f>
        <v>83955300</v>
      </c>
      <c r="E23" s="4"/>
    </row>
    <row r="25" ht="13.5" thickBot="1"/>
    <row r="26" spans="1:2" ht="26.25" thickBot="1">
      <c r="A26" s="18" t="s">
        <v>250</v>
      </c>
      <c r="B26" s="19">
        <f>+'ORGANOS DE CONTROL'!B14</f>
        <v>1393592000</v>
      </c>
    </row>
    <row r="27" ht="13.5" thickBot="1"/>
    <row r="28" spans="1:2" ht="13.5" thickBot="1">
      <c r="A28" s="22" t="s">
        <v>141</v>
      </c>
      <c r="B28" s="23">
        <v>0.6592</v>
      </c>
    </row>
    <row r="29" ht="13.5" thickBot="1"/>
    <row r="30" spans="1:2" ht="13.5" thickBot="1">
      <c r="A30" s="22" t="s">
        <v>142</v>
      </c>
      <c r="B30" s="2">
        <f>+B26*B28</f>
        <v>918655846.4</v>
      </c>
    </row>
    <row r="31" ht="13.5" thickBot="1"/>
    <row r="32" spans="1:2" ht="13.5" thickBot="1">
      <c r="A32" s="22" t="s">
        <v>143</v>
      </c>
      <c r="B32" s="2">
        <f>+B19+B23+B30</f>
        <v>1134739906.4</v>
      </c>
    </row>
    <row r="33" ht="13.5" thickBot="1"/>
    <row r="34" spans="1:2" ht="13.5" thickBot="1">
      <c r="A34" s="22" t="s">
        <v>144</v>
      </c>
      <c r="B34" s="2">
        <f>+B14-B32</f>
        <v>258852093.5999999</v>
      </c>
    </row>
    <row r="35" ht="13.5" thickBot="1"/>
    <row r="36" spans="1:4" ht="13.5" thickBot="1">
      <c r="A36" s="22" t="s">
        <v>145</v>
      </c>
      <c r="B36" s="2">
        <f>+'PROYECC.INGRESOS'!C51</f>
        <v>851284042</v>
      </c>
      <c r="D36" s="21"/>
    </row>
    <row r="37" spans="1:2" ht="13.5" thickBot="1">
      <c r="A37" s="22" t="s">
        <v>146</v>
      </c>
      <c r="B37" s="2">
        <f>+B26-B36</f>
        <v>542307958</v>
      </c>
    </row>
  </sheetData>
  <sheetProtection/>
  <mergeCells count="4">
    <mergeCell ref="A1:B1"/>
    <mergeCell ref="A2:B2"/>
    <mergeCell ref="A3:B3"/>
    <mergeCell ref="A4:B4"/>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tabColor theme="3" tint="-0.24997000396251678"/>
  </sheetPr>
  <dimension ref="A1:G78"/>
  <sheetViews>
    <sheetView zoomScalePageLayoutView="0" workbookViewId="0" topLeftCell="A4">
      <selection activeCell="I37" sqref="I37"/>
    </sheetView>
  </sheetViews>
  <sheetFormatPr defaultColWidth="11.421875" defaultRowHeight="12.75"/>
  <cols>
    <col min="1" max="1" width="10.8515625" style="80" customWidth="1"/>
    <col min="2" max="2" width="38.00390625" style="80" customWidth="1"/>
    <col min="3" max="3" width="10.00390625" style="80" customWidth="1"/>
    <col min="4" max="4" width="1.421875" style="80" customWidth="1"/>
    <col min="5" max="5" width="14.7109375" style="21" customWidth="1"/>
    <col min="6" max="6" width="18.57421875" style="21" customWidth="1"/>
    <col min="7" max="7" width="7.421875" style="80" customWidth="1"/>
    <col min="8" max="8" width="17.57421875" style="80" bestFit="1" customWidth="1"/>
    <col min="9" max="16384" width="11.421875" style="80" customWidth="1"/>
  </cols>
  <sheetData>
    <row r="1" spans="1:7" ht="12.75">
      <c r="A1" s="228"/>
      <c r="B1" s="229"/>
      <c r="C1" s="229"/>
      <c r="D1" s="229"/>
      <c r="E1" s="230"/>
      <c r="F1" s="230"/>
      <c r="G1" s="231"/>
    </row>
    <row r="2" spans="1:7" ht="15.75">
      <c r="A2" s="347" t="s">
        <v>235</v>
      </c>
      <c r="B2" s="348"/>
      <c r="C2" s="348"/>
      <c r="D2" s="348"/>
      <c r="E2" s="348"/>
      <c r="F2" s="348"/>
      <c r="G2" s="349"/>
    </row>
    <row r="3" spans="1:7" ht="15.75">
      <c r="A3" s="347" t="s">
        <v>234</v>
      </c>
      <c r="B3" s="348"/>
      <c r="C3" s="348"/>
      <c r="D3" s="348"/>
      <c r="E3" s="348"/>
      <c r="F3" s="348"/>
      <c r="G3" s="349"/>
    </row>
    <row r="4" spans="1:7" ht="7.5" customHeight="1">
      <c r="A4" s="232"/>
      <c r="B4" s="187"/>
      <c r="C4" s="187"/>
      <c r="D4" s="187"/>
      <c r="E4" s="188"/>
      <c r="F4" s="233"/>
      <c r="G4" s="190"/>
    </row>
    <row r="5" spans="1:7" ht="15.75" customHeight="1" thickBot="1">
      <c r="A5" s="350" t="s">
        <v>664</v>
      </c>
      <c r="B5" s="351"/>
      <c r="C5" s="351"/>
      <c r="D5" s="351"/>
      <c r="E5" s="351"/>
      <c r="F5" s="351"/>
      <c r="G5" s="352"/>
    </row>
    <row r="6" ht="12.75">
      <c r="F6" s="270" t="s">
        <v>810</v>
      </c>
    </row>
    <row r="7" spans="1:7" ht="15.75">
      <c r="A7" s="195" t="s">
        <v>811</v>
      </c>
      <c r="B7" s="205"/>
      <c r="C7" s="205"/>
      <c r="D7" s="205"/>
      <c r="E7" s="235"/>
      <c r="F7" s="209">
        <f>+F9+F14+F66</f>
        <v>20862877000</v>
      </c>
      <c r="G7" s="210">
        <f>+G9+G14+G66</f>
        <v>1</v>
      </c>
    </row>
    <row r="9" spans="1:7" ht="15.75">
      <c r="A9" s="195" t="s">
        <v>665</v>
      </c>
      <c r="B9" s="196"/>
      <c r="C9" s="196"/>
      <c r="D9" s="196"/>
      <c r="E9" s="234"/>
      <c r="F9" s="209">
        <f>SUM(E10:E12)</f>
        <v>1228000000</v>
      </c>
      <c r="G9" s="271">
        <f>+F9/F7</f>
        <v>0.05886053011768223</v>
      </c>
    </row>
    <row r="10" spans="1:5" ht="12.75">
      <c r="A10" s="325" t="s">
        <v>816</v>
      </c>
      <c r="B10" s="202"/>
      <c r="C10" s="202"/>
      <c r="D10" s="202"/>
      <c r="E10" s="258">
        <v>136621137</v>
      </c>
    </row>
    <row r="11" spans="1:5" ht="12.75">
      <c r="A11" s="328" t="s">
        <v>817</v>
      </c>
      <c r="B11" s="187"/>
      <c r="C11" s="187"/>
      <c r="D11" s="187"/>
      <c r="E11" s="259">
        <v>86642902</v>
      </c>
    </row>
    <row r="12" spans="1:5" ht="12.75">
      <c r="A12" s="328" t="s">
        <v>818</v>
      </c>
      <c r="B12" s="187"/>
      <c r="C12" s="187"/>
      <c r="D12" s="187"/>
      <c r="E12" s="259">
        <v>1004735961</v>
      </c>
    </row>
    <row r="13" spans="1:5" ht="12.75">
      <c r="A13" s="198"/>
      <c r="B13" s="199"/>
      <c r="C13" s="199"/>
      <c r="D13" s="199"/>
      <c r="E13" s="260"/>
    </row>
    <row r="14" spans="1:7" ht="15.75">
      <c r="A14" s="195" t="s">
        <v>819</v>
      </c>
      <c r="B14" s="205"/>
      <c r="C14" s="205"/>
      <c r="D14" s="205"/>
      <c r="E14" s="235"/>
      <c r="F14" s="209">
        <f>+F16+F40+F44+F50+F58++F54+F62</f>
        <v>19245875000</v>
      </c>
      <c r="G14" s="271">
        <f>+F14/F7</f>
        <v>0.9224938152106251</v>
      </c>
    </row>
    <row r="16" spans="1:7" ht="15.75">
      <c r="A16" s="353" t="s">
        <v>666</v>
      </c>
      <c r="B16" s="354"/>
      <c r="C16" s="354"/>
      <c r="D16" s="354"/>
      <c r="E16" s="355"/>
      <c r="F16" s="209">
        <f>+F18+F22+F27+F31+F37</f>
        <v>10405750000</v>
      </c>
      <c r="G16" s="271">
        <f>F16/$F$7</f>
        <v>0.4987686981042931</v>
      </c>
    </row>
    <row r="18" spans="1:7" ht="15">
      <c r="A18" s="236" t="s">
        <v>821</v>
      </c>
      <c r="B18" s="237" t="s">
        <v>667</v>
      </c>
      <c r="C18" s="237"/>
      <c r="D18" s="237"/>
      <c r="E18" s="238"/>
      <c r="F18" s="243">
        <f>SUM(E19:E20)</f>
        <v>1163000000</v>
      </c>
      <c r="G18" s="271">
        <f>F18/$F$7</f>
        <v>0.05574494831177886</v>
      </c>
    </row>
    <row r="19" spans="1:5" ht="12.75">
      <c r="A19" s="298" t="s">
        <v>820</v>
      </c>
      <c r="B19" s="244" t="s">
        <v>400</v>
      </c>
      <c r="C19" s="202"/>
      <c r="D19" s="202"/>
      <c r="E19" s="261">
        <v>603000000</v>
      </c>
    </row>
    <row r="20" spans="1:5" ht="12.75">
      <c r="A20" s="298" t="s">
        <v>822</v>
      </c>
      <c r="B20" s="245" t="s">
        <v>668</v>
      </c>
      <c r="C20" s="199"/>
      <c r="D20" s="199"/>
      <c r="E20" s="262">
        <v>560000000</v>
      </c>
    </row>
    <row r="21" ht="12.75">
      <c r="A21" s="205"/>
    </row>
    <row r="22" spans="1:7" ht="15">
      <c r="A22" s="236" t="s">
        <v>823</v>
      </c>
      <c r="B22" s="237" t="s">
        <v>669</v>
      </c>
      <c r="C22" s="237"/>
      <c r="D22" s="205"/>
      <c r="E22" s="235"/>
      <c r="F22" s="243">
        <f>E23+E25</f>
        <v>6630000000</v>
      </c>
      <c r="G22" s="271">
        <f>F22/$F$7</f>
        <v>0.31778934420214433</v>
      </c>
    </row>
    <row r="23" spans="1:5" ht="12.75">
      <c r="A23" s="246" t="s">
        <v>824</v>
      </c>
      <c r="B23" s="247" t="s">
        <v>670</v>
      </c>
      <c r="C23" s="247"/>
      <c r="D23" s="247"/>
      <c r="E23" s="263">
        <f>SUM(E24:E24)</f>
        <v>6381000000</v>
      </c>
    </row>
    <row r="24" spans="1:5" ht="12.75">
      <c r="A24" s="337" t="s">
        <v>825</v>
      </c>
      <c r="B24" s="249" t="s">
        <v>711</v>
      </c>
      <c r="C24" s="187"/>
      <c r="D24" s="187"/>
      <c r="E24" s="264">
        <v>6381000000</v>
      </c>
    </row>
    <row r="25" spans="1:5" ht="15">
      <c r="A25" s="339" t="s">
        <v>826</v>
      </c>
      <c r="B25" s="245" t="s">
        <v>671</v>
      </c>
      <c r="C25" s="250"/>
      <c r="D25" s="250"/>
      <c r="E25" s="265">
        <v>249000000</v>
      </c>
    </row>
    <row r="26" ht="12.75">
      <c r="E26" s="3"/>
    </row>
    <row r="27" spans="1:7" ht="15">
      <c r="A27" s="340" t="s">
        <v>827</v>
      </c>
      <c r="B27" s="354" t="s">
        <v>672</v>
      </c>
      <c r="C27" s="356"/>
      <c r="D27" s="356"/>
      <c r="E27" s="357"/>
      <c r="F27" s="272">
        <f>SUM(E28:E29)</f>
        <v>1420000000</v>
      </c>
      <c r="G27" s="271">
        <f>F27/$F$7</f>
        <v>0.06806347945204298</v>
      </c>
    </row>
    <row r="28" spans="1:5" ht="12.75">
      <c r="A28" s="248"/>
      <c r="B28" s="244" t="s">
        <v>673</v>
      </c>
      <c r="C28" s="202"/>
      <c r="D28" s="202"/>
      <c r="E28" s="266">
        <v>213000000</v>
      </c>
    </row>
    <row r="29" spans="1:5" ht="12.75">
      <c r="A29" s="251"/>
      <c r="B29" s="245" t="s">
        <v>674</v>
      </c>
      <c r="C29" s="199"/>
      <c r="D29" s="199"/>
      <c r="E29" s="267">
        <f>1420000000-213000000</f>
        <v>1207000000</v>
      </c>
    </row>
    <row r="30" ht="12.75">
      <c r="A30" s="85"/>
    </row>
    <row r="31" spans="1:7" ht="15">
      <c r="A31" s="236"/>
      <c r="B31" s="354" t="s">
        <v>675</v>
      </c>
      <c r="C31" s="356"/>
      <c r="D31" s="356"/>
      <c r="E31" s="357"/>
      <c r="F31" s="243">
        <f>SUM(E32:E35)</f>
        <v>952500000</v>
      </c>
      <c r="G31" s="271">
        <f>F31/$F$7</f>
        <v>0.04565525646343024</v>
      </c>
    </row>
    <row r="32" spans="1:5" ht="15">
      <c r="A32" s="338" t="s">
        <v>828</v>
      </c>
      <c r="B32" s="244" t="s">
        <v>676</v>
      </c>
      <c r="C32" s="202"/>
      <c r="D32" s="202"/>
      <c r="E32" s="258">
        <v>99500000</v>
      </c>
    </row>
    <row r="33" spans="1:5" ht="15">
      <c r="A33" s="252" t="s">
        <v>829</v>
      </c>
      <c r="B33" s="249" t="s">
        <v>677</v>
      </c>
      <c r="C33" s="187"/>
      <c r="D33" s="187"/>
      <c r="E33" s="259">
        <v>75000000</v>
      </c>
    </row>
    <row r="34" spans="1:5" ht="15">
      <c r="A34" s="252"/>
      <c r="B34" s="249" t="s">
        <v>678</v>
      </c>
      <c r="C34" s="187"/>
      <c r="D34" s="187"/>
      <c r="E34" s="259">
        <v>649000000</v>
      </c>
    </row>
    <row r="35" spans="1:5" ht="15">
      <c r="A35" s="253"/>
      <c r="B35" s="245" t="s">
        <v>679</v>
      </c>
      <c r="C35" s="199"/>
      <c r="D35" s="199"/>
      <c r="E35" s="265">
        <v>129000000</v>
      </c>
    </row>
    <row r="36" ht="5.25" customHeight="1"/>
    <row r="37" spans="1:7" ht="15">
      <c r="A37" s="236" t="s">
        <v>821</v>
      </c>
      <c r="B37" s="239" t="s">
        <v>680</v>
      </c>
      <c r="C37" s="239"/>
      <c r="D37" s="239"/>
      <c r="E37" s="238"/>
      <c r="F37" s="243">
        <f>E38</f>
        <v>240250000</v>
      </c>
      <c r="G37" s="271">
        <f>F37/$F$7</f>
        <v>0.011515669674896707</v>
      </c>
    </row>
    <row r="38" spans="1:5" ht="15">
      <c r="A38" s="83" t="s">
        <v>830</v>
      </c>
      <c r="B38" s="81" t="s">
        <v>681</v>
      </c>
      <c r="E38" s="261">
        <v>240250000</v>
      </c>
    </row>
    <row r="39" ht="7.5" customHeight="1">
      <c r="E39" s="267"/>
    </row>
    <row r="40" spans="1:7" ht="15.75">
      <c r="A40" s="353" t="s">
        <v>832</v>
      </c>
      <c r="B40" s="354"/>
      <c r="C40" s="354"/>
      <c r="D40" s="354"/>
      <c r="E40" s="355"/>
      <c r="F40" s="212">
        <f>+E42</f>
        <v>7419000000</v>
      </c>
      <c r="G40" s="271">
        <f>F40/$F$7</f>
        <v>0.355607714123033</v>
      </c>
    </row>
    <row r="41" ht="8.25" customHeight="1">
      <c r="E41" s="266"/>
    </row>
    <row r="42" spans="1:5" ht="12.75">
      <c r="A42" s="310" t="s">
        <v>833</v>
      </c>
      <c r="B42" s="81" t="s">
        <v>670</v>
      </c>
      <c r="E42" s="262">
        <v>7419000000</v>
      </c>
    </row>
    <row r="43" ht="3.75" customHeight="1"/>
    <row r="44" spans="1:7" ht="15.75">
      <c r="A44" s="195" t="s">
        <v>831</v>
      </c>
      <c r="B44" s="205"/>
      <c r="C44" s="205"/>
      <c r="D44" s="205"/>
      <c r="E44" s="235"/>
      <c r="F44" s="209">
        <f>SUM(E46:E48)</f>
        <v>674561000</v>
      </c>
      <c r="G44" s="271">
        <f>F44/$F$7</f>
        <v>0.03233307659341519</v>
      </c>
    </row>
    <row r="45" ht="9.75" customHeight="1"/>
    <row r="46" spans="1:5" ht="12.75">
      <c r="A46" s="325" t="s">
        <v>823</v>
      </c>
      <c r="B46" s="244" t="s">
        <v>682</v>
      </c>
      <c r="C46" s="202"/>
      <c r="D46" s="202"/>
      <c r="E46" s="258">
        <f>1601565000-892004000-35000000</f>
        <v>674561000</v>
      </c>
    </row>
    <row r="47" spans="1:5" ht="12.75">
      <c r="A47" s="203"/>
      <c r="B47" s="249" t="s">
        <v>683</v>
      </c>
      <c r="C47" s="187"/>
      <c r="D47" s="187"/>
      <c r="E47" s="259"/>
    </row>
    <row r="48" spans="1:5" ht="12.75">
      <c r="A48" s="332" t="s">
        <v>823</v>
      </c>
      <c r="B48" s="245" t="s">
        <v>684</v>
      </c>
      <c r="C48" s="199"/>
      <c r="D48" s="199"/>
      <c r="E48" s="265"/>
    </row>
    <row r="49" ht="4.5" customHeight="1"/>
    <row r="50" spans="1:7" ht="15.75">
      <c r="A50" s="353" t="s">
        <v>834</v>
      </c>
      <c r="B50" s="354"/>
      <c r="C50" s="354"/>
      <c r="D50" s="354"/>
      <c r="E50" s="355"/>
      <c r="F50" s="212">
        <f>E52</f>
        <v>70000000</v>
      </c>
      <c r="G50" s="271">
        <f>F50/$F$7</f>
        <v>0.00335524194481902</v>
      </c>
    </row>
    <row r="51" ht="8.25" customHeight="1">
      <c r="E51" s="266"/>
    </row>
    <row r="52" spans="1:5" ht="12.75">
      <c r="A52" s="310" t="s">
        <v>835</v>
      </c>
      <c r="B52" s="81" t="s">
        <v>670</v>
      </c>
      <c r="E52" s="259">
        <v>70000000</v>
      </c>
    </row>
    <row r="53" spans="1:5" ht="6.75" customHeight="1">
      <c r="A53" s="81"/>
      <c r="E53" s="267"/>
    </row>
    <row r="54" spans="1:7" ht="15.75">
      <c r="A54" s="353" t="s">
        <v>836</v>
      </c>
      <c r="B54" s="354"/>
      <c r="C54" s="354"/>
      <c r="D54" s="354"/>
      <c r="E54" s="355"/>
      <c r="F54" s="212">
        <f>E56</f>
        <v>629558000</v>
      </c>
      <c r="G54" s="271">
        <f>F54/$F$7</f>
        <v>0.030175991547091035</v>
      </c>
    </row>
    <row r="55" ht="7.5" customHeight="1"/>
    <row r="56" spans="1:5" ht="12.75">
      <c r="A56" s="341" t="s">
        <v>837</v>
      </c>
      <c r="B56" s="254" t="s">
        <v>716</v>
      </c>
      <c r="C56" s="205"/>
      <c r="D56" s="205"/>
      <c r="E56" s="268">
        <v>629558000</v>
      </c>
    </row>
    <row r="57" ht="7.5" customHeight="1"/>
    <row r="58" spans="1:7" ht="15.75">
      <c r="A58" s="195" t="s">
        <v>685</v>
      </c>
      <c r="B58" s="205"/>
      <c r="C58" s="205"/>
      <c r="D58" s="205"/>
      <c r="E58" s="240"/>
      <c r="F58" s="212">
        <f>SUM(E60:E61)</f>
        <v>2000</v>
      </c>
      <c r="G58" s="271">
        <f>F58/$F$7</f>
        <v>9.586405556625772E-08</v>
      </c>
    </row>
    <row r="59" ht="12.75">
      <c r="E59" s="266"/>
    </row>
    <row r="60" spans="1:5" ht="12.75">
      <c r="A60" s="81" t="s">
        <v>686</v>
      </c>
      <c r="B60" s="81" t="s">
        <v>687</v>
      </c>
      <c r="E60" s="264">
        <v>2000</v>
      </c>
    </row>
    <row r="61" spans="1:5" ht="12.75">
      <c r="A61" s="81"/>
      <c r="B61" s="81"/>
      <c r="E61" s="262"/>
    </row>
    <row r="62" spans="1:7" ht="15.75">
      <c r="A62" s="195" t="s">
        <v>838</v>
      </c>
      <c r="B62" s="205"/>
      <c r="C62" s="205"/>
      <c r="D62" s="205"/>
      <c r="E62" s="235"/>
      <c r="F62" s="241">
        <f>SUM(E64:E65)</f>
        <v>47004000</v>
      </c>
      <c r="G62" s="271">
        <f>+F62/F7</f>
        <v>0.0022529970339181886</v>
      </c>
    </row>
    <row r="64" spans="1:5" ht="12.75">
      <c r="A64" s="341" t="s">
        <v>839</v>
      </c>
      <c r="B64" s="335" t="s">
        <v>739</v>
      </c>
      <c r="C64" s="205"/>
      <c r="D64" s="205"/>
      <c r="E64" s="269">
        <v>47004000</v>
      </c>
    </row>
    <row r="65" spans="1:5" ht="8.25" customHeight="1">
      <c r="A65" s="81"/>
      <c r="B65" s="81"/>
      <c r="E65" s="3"/>
    </row>
    <row r="66" spans="1:7" ht="15.75">
      <c r="A66" s="195" t="s">
        <v>688</v>
      </c>
      <c r="B66" s="196"/>
      <c r="C66" s="196"/>
      <c r="D66" s="196"/>
      <c r="E66" s="242"/>
      <c r="F66" s="209">
        <f>SUM(E67:E78)</f>
        <v>389002000</v>
      </c>
      <c r="G66" s="271">
        <f>F66/$F$7</f>
        <v>0.018645654671692692</v>
      </c>
    </row>
    <row r="67" spans="1:6" ht="12.75">
      <c r="A67" s="201" t="s">
        <v>689</v>
      </c>
      <c r="B67" s="202"/>
      <c r="C67" s="202"/>
      <c r="D67" s="255"/>
      <c r="E67" s="218">
        <v>1000</v>
      </c>
      <c r="F67" s="3"/>
    </row>
    <row r="68" spans="1:6" ht="12.75">
      <c r="A68" s="203" t="s">
        <v>690</v>
      </c>
      <c r="B68" s="187"/>
      <c r="C68" s="187"/>
      <c r="D68" s="256"/>
      <c r="E68" s="219">
        <v>20000000</v>
      </c>
      <c r="F68" s="3"/>
    </row>
    <row r="69" spans="1:6" ht="12.75">
      <c r="A69" s="203" t="s">
        <v>691</v>
      </c>
      <c r="B69" s="187"/>
      <c r="C69" s="187"/>
      <c r="D69" s="256"/>
      <c r="E69" s="220">
        <v>20000000</v>
      </c>
      <c r="F69" s="3"/>
    </row>
    <row r="70" spans="1:6" ht="12.75">
      <c r="A70" s="203" t="s">
        <v>692</v>
      </c>
      <c r="B70" s="187"/>
      <c r="C70" s="187"/>
      <c r="D70" s="256"/>
      <c r="E70" s="220">
        <v>17000000</v>
      </c>
      <c r="F70" s="3"/>
    </row>
    <row r="71" spans="1:6" ht="12.75">
      <c r="A71" s="203" t="s">
        <v>693</v>
      </c>
      <c r="B71" s="187"/>
      <c r="C71" s="187"/>
      <c r="D71" s="257"/>
      <c r="E71" s="220">
        <v>9000000</v>
      </c>
      <c r="F71" s="86"/>
    </row>
    <row r="72" spans="1:6" ht="12.75">
      <c r="A72" s="203" t="s">
        <v>694</v>
      </c>
      <c r="B72" s="187"/>
      <c r="C72" s="187"/>
      <c r="D72" s="257"/>
      <c r="E72" s="220">
        <v>6000000</v>
      </c>
      <c r="F72" s="3"/>
    </row>
    <row r="73" spans="1:6" ht="12.75" customHeight="1">
      <c r="A73" s="203" t="s">
        <v>695</v>
      </c>
      <c r="B73" s="187"/>
      <c r="C73" s="187"/>
      <c r="D73" s="256"/>
      <c r="E73" s="220">
        <f>138000000+33000000</f>
        <v>171000000</v>
      </c>
      <c r="F73" s="3"/>
    </row>
    <row r="74" spans="1:6" ht="12.75">
      <c r="A74" s="203" t="s">
        <v>696</v>
      </c>
      <c r="B74" s="187"/>
      <c r="C74" s="187"/>
      <c r="D74" s="257"/>
      <c r="E74" s="219">
        <v>30000000</v>
      </c>
      <c r="F74" s="3"/>
    </row>
    <row r="75" spans="1:6" ht="12.75">
      <c r="A75" s="203" t="s">
        <v>697</v>
      </c>
      <c r="B75" s="187"/>
      <c r="C75" s="187"/>
      <c r="D75" s="257"/>
      <c r="E75" s="219">
        <v>17000000</v>
      </c>
      <c r="F75" s="3"/>
    </row>
    <row r="76" spans="1:5" ht="12.75">
      <c r="A76" s="203" t="s">
        <v>698</v>
      </c>
      <c r="B76" s="187"/>
      <c r="C76" s="187"/>
      <c r="D76" s="187"/>
      <c r="E76" s="221">
        <v>1000</v>
      </c>
    </row>
    <row r="77" spans="1:5" ht="12.75">
      <c r="A77" s="204" t="s">
        <v>718</v>
      </c>
      <c r="B77" s="187"/>
      <c r="C77" s="187"/>
      <c r="D77" s="187"/>
      <c r="E77" s="221">
        <v>58000000</v>
      </c>
    </row>
    <row r="78" spans="1:5" ht="12.75">
      <c r="A78" s="198" t="s">
        <v>719</v>
      </c>
      <c r="B78" s="199"/>
      <c r="C78" s="199"/>
      <c r="D78" s="199"/>
      <c r="E78" s="222">
        <v>41000000</v>
      </c>
    </row>
  </sheetData>
  <sheetProtection/>
  <mergeCells count="9">
    <mergeCell ref="A2:G2"/>
    <mergeCell ref="A3:G3"/>
    <mergeCell ref="A5:G5"/>
    <mergeCell ref="A54:E54"/>
    <mergeCell ref="A40:E40"/>
    <mergeCell ref="A50:E50"/>
    <mergeCell ref="A16:E16"/>
    <mergeCell ref="B27:E27"/>
    <mergeCell ref="B31:E31"/>
  </mergeCells>
  <printOptions/>
  <pageMargins left="0.7874015748031497" right="0.2362204724409449" top="0.7480314960629921" bottom="0.7480314960629921" header="0.31496062992125984" footer="0.31496062992125984"/>
  <pageSetup orientation="portrait" scale="90"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2:E50"/>
  <sheetViews>
    <sheetView zoomScalePageLayoutView="0" workbookViewId="0" topLeftCell="A1">
      <selection activeCell="D21" sqref="D21"/>
    </sheetView>
  </sheetViews>
  <sheetFormatPr defaultColWidth="11.421875" defaultRowHeight="12.75"/>
  <cols>
    <col min="1" max="1" width="44.8515625" style="80" customWidth="1"/>
    <col min="2" max="2" width="3.8515625" style="80" customWidth="1"/>
    <col min="3" max="3" width="17.8515625" style="80" customWidth="1"/>
    <col min="4" max="4" width="18.8515625" style="21" customWidth="1"/>
    <col min="5" max="5" width="8.8515625" style="80" customWidth="1"/>
    <col min="6" max="16384" width="11.421875" style="80" customWidth="1"/>
  </cols>
  <sheetData>
    <row r="1" ht="13.5" thickBot="1"/>
    <row r="2" spans="1:5" ht="23.25" customHeight="1">
      <c r="A2" s="361" t="s">
        <v>235</v>
      </c>
      <c r="B2" s="362"/>
      <c r="C2" s="362"/>
      <c r="D2" s="362"/>
      <c r="E2" s="363"/>
    </row>
    <row r="3" spans="1:5" ht="19.5" customHeight="1">
      <c r="A3" s="358" t="s">
        <v>234</v>
      </c>
      <c r="B3" s="359"/>
      <c r="C3" s="359"/>
      <c r="D3" s="359"/>
      <c r="E3" s="360"/>
    </row>
    <row r="4" spans="1:5" ht="9" customHeight="1">
      <c r="A4" s="297"/>
      <c r="B4" s="298"/>
      <c r="C4" s="298"/>
      <c r="D4" s="299"/>
      <c r="E4" s="300"/>
    </row>
    <row r="5" spans="1:5" ht="15.75" customHeight="1">
      <c r="A5" s="367" t="s">
        <v>699</v>
      </c>
      <c r="B5" s="368"/>
      <c r="C5" s="368"/>
      <c r="D5" s="368"/>
      <c r="E5" s="369"/>
    </row>
    <row r="6" spans="1:5" ht="8.25" customHeight="1" thickBot="1">
      <c r="A6" s="301"/>
      <c r="B6" s="302"/>
      <c r="C6" s="302"/>
      <c r="D6" s="303"/>
      <c r="E6" s="304"/>
    </row>
    <row r="7" spans="1:5" ht="15.75" customHeight="1">
      <c r="A7" s="305"/>
      <c r="B7" s="305"/>
      <c r="C7" s="305"/>
      <c r="D7" s="306" t="s">
        <v>810</v>
      </c>
      <c r="E7" s="307"/>
    </row>
    <row r="8" spans="1:5" ht="23.25" customHeight="1">
      <c r="A8" s="364" t="s">
        <v>808</v>
      </c>
      <c r="B8" s="365"/>
      <c r="C8" s="366"/>
      <c r="D8" s="308">
        <f>D10+D18+D20+D22+D24+D26+D30+D28+D45</f>
        <v>20862877000</v>
      </c>
      <c r="E8" s="309">
        <f>SUM(E10:E45)</f>
        <v>1.0000000000000002</v>
      </c>
    </row>
    <row r="9" spans="1:5" ht="5.25" customHeight="1">
      <c r="A9" s="310"/>
      <c r="B9" s="310"/>
      <c r="C9" s="310"/>
      <c r="D9" s="311"/>
      <c r="E9" s="310"/>
    </row>
    <row r="10" spans="1:5" ht="12.75">
      <c r="A10" s="312" t="s">
        <v>700</v>
      </c>
      <c r="B10" s="313"/>
      <c r="C10" s="314"/>
      <c r="D10" s="308">
        <f>SUM(C12:C16)</f>
        <v>10741750000</v>
      </c>
      <c r="E10" s="315">
        <f>D10/D8</f>
        <v>0.5148738594394244</v>
      </c>
    </row>
    <row r="11" spans="1:5" ht="3" customHeight="1">
      <c r="A11" s="310"/>
      <c r="B11" s="310"/>
      <c r="C11" s="310"/>
      <c r="D11" s="311"/>
      <c r="E11" s="310"/>
    </row>
    <row r="12" spans="1:5" ht="12.75">
      <c r="A12" s="374" t="s">
        <v>701</v>
      </c>
      <c r="B12" s="375"/>
      <c r="C12" s="316">
        <v>1163000000</v>
      </c>
      <c r="D12" s="311"/>
      <c r="E12" s="310"/>
    </row>
    <row r="13" spans="1:5" ht="12.75">
      <c r="A13" s="370" t="s">
        <v>702</v>
      </c>
      <c r="B13" s="371"/>
      <c r="C13" s="317">
        <v>6630000000</v>
      </c>
      <c r="D13" s="311"/>
      <c r="E13" s="310"/>
    </row>
    <row r="14" spans="1:5" ht="12.75">
      <c r="A14" s="370" t="s">
        <v>703</v>
      </c>
      <c r="B14" s="371"/>
      <c r="C14" s="317">
        <v>1420000000</v>
      </c>
      <c r="D14" s="311"/>
      <c r="E14" s="310"/>
    </row>
    <row r="15" spans="1:5" ht="12.75">
      <c r="A15" s="370" t="s">
        <v>704</v>
      </c>
      <c r="B15" s="371"/>
      <c r="C15" s="317">
        <v>1288500000</v>
      </c>
      <c r="D15" s="311"/>
      <c r="E15" s="310"/>
    </row>
    <row r="16" spans="1:5" ht="12.75">
      <c r="A16" s="372" t="s">
        <v>705</v>
      </c>
      <c r="B16" s="373"/>
      <c r="C16" s="318">
        <v>240250000</v>
      </c>
      <c r="D16" s="311"/>
      <c r="E16" s="310"/>
    </row>
    <row r="17" spans="1:5" ht="12.75">
      <c r="A17" s="310"/>
      <c r="B17" s="310"/>
      <c r="C17" s="84"/>
      <c r="D17" s="311"/>
      <c r="E17" s="310"/>
    </row>
    <row r="18" spans="1:5" ht="12.75">
      <c r="A18" s="312" t="s">
        <v>706</v>
      </c>
      <c r="B18" s="313"/>
      <c r="C18" s="314"/>
      <c r="D18" s="319">
        <v>7419000000</v>
      </c>
      <c r="E18" s="320">
        <f>D18/D8</f>
        <v>0.355607714123033</v>
      </c>
    </row>
    <row r="19" spans="1:5" ht="6.75" customHeight="1">
      <c r="A19" s="298"/>
      <c r="B19" s="298"/>
      <c r="C19" s="298"/>
      <c r="D19" s="311"/>
      <c r="E19" s="310"/>
    </row>
    <row r="20" spans="1:5" ht="12.75">
      <c r="A20" s="312" t="s">
        <v>707</v>
      </c>
      <c r="B20" s="313"/>
      <c r="C20" s="314"/>
      <c r="D20" s="319">
        <f>902000000+150000000+381000000+76000000+5000000+5000+5501000+20450000+25002000+5005000+10000000+21602000+-35000000</f>
        <v>1566565000</v>
      </c>
      <c r="E20" s="315">
        <f>D20/D8</f>
        <v>0.07508863710407726</v>
      </c>
    </row>
    <row r="21" spans="1:5" ht="12.75">
      <c r="A21" s="310"/>
      <c r="B21" s="310"/>
      <c r="C21" s="310"/>
      <c r="D21" s="311"/>
      <c r="E21" s="310"/>
    </row>
    <row r="22" spans="1:5" ht="12.75">
      <c r="A22" s="312" t="s">
        <v>708</v>
      </c>
      <c r="B22" s="313"/>
      <c r="C22" s="314"/>
      <c r="D22" s="319">
        <v>70000000</v>
      </c>
      <c r="E22" s="320">
        <f>D22/D8</f>
        <v>0.00335524194481902</v>
      </c>
    </row>
    <row r="23" spans="1:5" ht="12.75">
      <c r="A23" s="310"/>
      <c r="B23" s="310"/>
      <c r="C23" s="310"/>
      <c r="D23" s="311"/>
      <c r="E23" s="310"/>
    </row>
    <row r="24" spans="1:5" ht="12.75">
      <c r="A24" s="312" t="s">
        <v>709</v>
      </c>
      <c r="B24" s="313"/>
      <c r="C24" s="314"/>
      <c r="D24" s="308">
        <v>629558000</v>
      </c>
      <c r="E24" s="321">
        <f>D24/D8</f>
        <v>0.030175991547091035</v>
      </c>
    </row>
    <row r="25" spans="1:5" ht="12.75">
      <c r="A25" s="310"/>
      <c r="B25" s="310"/>
      <c r="C25" s="310"/>
      <c r="D25" s="311"/>
      <c r="E25" s="310"/>
    </row>
    <row r="26" spans="1:5" ht="12.75">
      <c r="A26" s="312" t="s">
        <v>710</v>
      </c>
      <c r="B26" s="313"/>
      <c r="C26" s="314"/>
      <c r="D26" s="319">
        <v>2000</v>
      </c>
      <c r="E26" s="309">
        <f>D26/D8</f>
        <v>9.586405556625772E-08</v>
      </c>
    </row>
    <row r="27" spans="1:5" ht="12.75">
      <c r="A27" s="310"/>
      <c r="B27" s="310"/>
      <c r="C27" s="310"/>
      <c r="D27" s="311"/>
      <c r="E27" s="310"/>
    </row>
    <row r="28" spans="1:5" ht="12.75">
      <c r="A28" s="312" t="s">
        <v>717</v>
      </c>
      <c r="B28" s="313"/>
      <c r="C28" s="314"/>
      <c r="D28" s="319">
        <v>47000000</v>
      </c>
      <c r="E28" s="315">
        <f>D28/D8</f>
        <v>0.0022528053058070564</v>
      </c>
    </row>
    <row r="29" spans="1:5" ht="12.75">
      <c r="A29" s="310"/>
      <c r="B29" s="310"/>
      <c r="C29" s="310"/>
      <c r="D29" s="311"/>
      <c r="E29" s="310"/>
    </row>
    <row r="30" spans="1:5" ht="12.75">
      <c r="A30" s="312" t="s">
        <v>720</v>
      </c>
      <c r="B30" s="313"/>
      <c r="C30" s="314"/>
      <c r="D30" s="322">
        <f>SUM(C32:C43)</f>
        <v>389002000</v>
      </c>
      <c r="E30" s="315">
        <f>D30/D8</f>
        <v>0.018645654671692692</v>
      </c>
    </row>
    <row r="31" spans="1:5" ht="7.5" customHeight="1">
      <c r="A31" s="323"/>
      <c r="B31" s="323"/>
      <c r="C31" s="323"/>
      <c r="D31" s="84"/>
      <c r="E31" s="324"/>
    </row>
    <row r="32" spans="1:5" ht="12.75">
      <c r="A32" s="325" t="s">
        <v>721</v>
      </c>
      <c r="B32" s="326"/>
      <c r="C32" s="327">
        <v>1000</v>
      </c>
      <c r="D32" s="310"/>
      <c r="E32" s="310"/>
    </row>
    <row r="33" spans="1:5" ht="12.75">
      <c r="A33" s="328" t="s">
        <v>722</v>
      </c>
      <c r="B33" s="329"/>
      <c r="C33" s="330">
        <v>20000000</v>
      </c>
      <c r="D33" s="310"/>
      <c r="E33" s="310"/>
    </row>
    <row r="34" spans="1:5" ht="12.75">
      <c r="A34" s="328" t="s">
        <v>723</v>
      </c>
      <c r="B34" s="329"/>
      <c r="C34" s="330">
        <v>20000000</v>
      </c>
      <c r="D34" s="310"/>
      <c r="E34" s="310"/>
    </row>
    <row r="35" spans="1:5" ht="12.75">
      <c r="A35" s="328" t="s">
        <v>724</v>
      </c>
      <c r="B35" s="329"/>
      <c r="C35" s="330">
        <v>17000000</v>
      </c>
      <c r="D35" s="310"/>
      <c r="E35" s="310"/>
    </row>
    <row r="36" spans="1:5" ht="12.75">
      <c r="A36" s="328" t="s">
        <v>725</v>
      </c>
      <c r="B36" s="329"/>
      <c r="C36" s="330">
        <v>9000000</v>
      </c>
      <c r="D36" s="310"/>
      <c r="E36" s="310"/>
    </row>
    <row r="37" spans="1:5" ht="12.75">
      <c r="A37" s="328" t="s">
        <v>726</v>
      </c>
      <c r="B37" s="329"/>
      <c r="C37" s="330">
        <v>6000000</v>
      </c>
      <c r="D37" s="310"/>
      <c r="E37" s="310"/>
    </row>
    <row r="38" spans="1:5" ht="12.75" customHeight="1">
      <c r="A38" s="328" t="s">
        <v>727</v>
      </c>
      <c r="B38" s="329"/>
      <c r="C38" s="330">
        <f>138000000+33000000</f>
        <v>171000000</v>
      </c>
      <c r="D38" s="310"/>
      <c r="E38" s="310"/>
    </row>
    <row r="39" spans="1:5" ht="12.75">
      <c r="A39" s="328" t="s">
        <v>728</v>
      </c>
      <c r="B39" s="329"/>
      <c r="C39" s="330">
        <v>30000000</v>
      </c>
      <c r="D39" s="310"/>
      <c r="E39" s="310"/>
    </row>
    <row r="40" spans="1:5" ht="12.75">
      <c r="A40" s="328" t="s">
        <v>729</v>
      </c>
      <c r="B40" s="329"/>
      <c r="C40" s="330">
        <v>17000000</v>
      </c>
      <c r="D40" s="310"/>
      <c r="E40" s="310"/>
    </row>
    <row r="41" spans="1:5" ht="12.75">
      <c r="A41" s="328" t="s">
        <v>730</v>
      </c>
      <c r="B41" s="329"/>
      <c r="C41" s="331">
        <v>1000</v>
      </c>
      <c r="D41" s="310"/>
      <c r="E41" s="311"/>
    </row>
    <row r="42" spans="1:5" ht="12.75">
      <c r="A42" s="328" t="s">
        <v>731</v>
      </c>
      <c r="B42" s="329"/>
      <c r="C42" s="331">
        <v>58000000</v>
      </c>
      <c r="D42" s="311"/>
      <c r="E42" s="310"/>
    </row>
    <row r="43" spans="1:5" ht="12.75">
      <c r="A43" s="332" t="s">
        <v>732</v>
      </c>
      <c r="B43" s="333"/>
      <c r="C43" s="334">
        <v>41000000</v>
      </c>
      <c r="D43" s="311"/>
      <c r="E43" s="310"/>
    </row>
    <row r="44" spans="1:5" ht="12.75">
      <c r="A44" s="310"/>
      <c r="B44" s="310"/>
      <c r="C44" s="310"/>
      <c r="D44" s="311"/>
      <c r="E44" s="310"/>
    </row>
    <row r="45" spans="1:5" ht="12.75">
      <c r="A45" s="312" t="s">
        <v>807</v>
      </c>
      <c r="B45" s="335"/>
      <c r="C45" s="336"/>
      <c r="D45" s="319"/>
      <c r="E45" s="315">
        <f>D45/D8</f>
        <v>0</v>
      </c>
    </row>
    <row r="46" spans="1:5" ht="12.75">
      <c r="A46" s="310"/>
      <c r="B46" s="310"/>
      <c r="C46" s="310"/>
      <c r="D46" s="311"/>
      <c r="E46" s="310"/>
    </row>
    <row r="47" spans="1:5" ht="12.75">
      <c r="A47" s="310" t="s">
        <v>806</v>
      </c>
      <c r="B47" s="310"/>
      <c r="C47" s="310"/>
      <c r="D47" s="311"/>
      <c r="E47" s="310"/>
    </row>
    <row r="48" spans="1:5" ht="12.75">
      <c r="A48" s="310" t="s">
        <v>809</v>
      </c>
      <c r="B48" s="310"/>
      <c r="C48" s="310"/>
      <c r="D48" s="311"/>
      <c r="E48" s="310"/>
    </row>
    <row r="49" spans="1:5" ht="12.75">
      <c r="A49" s="310"/>
      <c r="B49" s="310"/>
      <c r="C49" s="310"/>
      <c r="D49" s="311"/>
      <c r="E49" s="310"/>
    </row>
    <row r="50" spans="1:5" ht="12.75">
      <c r="A50" s="310"/>
      <c r="B50" s="310"/>
      <c r="C50" s="310"/>
      <c r="D50" s="311"/>
      <c r="E50" s="310"/>
    </row>
  </sheetData>
  <sheetProtection/>
  <mergeCells count="9">
    <mergeCell ref="A3:E3"/>
    <mergeCell ref="A2:E2"/>
    <mergeCell ref="A8:C8"/>
    <mergeCell ref="A5:E5"/>
    <mergeCell ref="A15:B15"/>
    <mergeCell ref="A16:B16"/>
    <mergeCell ref="A12:B12"/>
    <mergeCell ref="A13:B13"/>
    <mergeCell ref="A14:B14"/>
  </mergeCells>
  <printOptions horizontalCentered="1"/>
  <pageMargins left="0.6299212598425197" right="0.3937007874015748" top="0.984251968503937" bottom="0.984251968503937" header="0.3937007874015748" footer="0"/>
  <pageSetup horizontalDpi="600" verticalDpi="600" orientation="portrait" scale="95"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HS410"/>
  <sheetViews>
    <sheetView zoomScalePageLayoutView="0" workbookViewId="0" topLeftCell="A9">
      <selection activeCell="E313" sqref="E313"/>
    </sheetView>
  </sheetViews>
  <sheetFormatPr defaultColWidth="24.421875" defaultRowHeight="12.75"/>
  <cols>
    <col min="1" max="1" width="10.421875" style="45" customWidth="1"/>
    <col min="2" max="2" width="45.140625" style="50" customWidth="1"/>
    <col min="3" max="3" width="16.140625" style="47" hidden="1" customWidth="1"/>
    <col min="4" max="4" width="15.140625" style="47" hidden="1" customWidth="1"/>
    <col min="5" max="5" width="16.8515625" style="155" customWidth="1"/>
    <col min="6" max="7" width="16.421875" style="48" customWidth="1"/>
    <col min="8" max="8" width="15.8515625" style="48" customWidth="1"/>
    <col min="9" max="9" width="16.421875" style="48" customWidth="1"/>
    <col min="10" max="10" width="14.8515625" style="48" customWidth="1"/>
    <col min="11" max="11" width="14.7109375" style="38" customWidth="1"/>
    <col min="12" max="12" width="15.57421875" style="38" customWidth="1"/>
    <col min="13" max="14" width="16.421875" style="38" customWidth="1"/>
    <col min="15" max="16384" width="24.421875" style="38" customWidth="1"/>
  </cols>
  <sheetData>
    <row r="1" spans="1:7" s="61" customFormat="1" ht="20.25" customHeight="1">
      <c r="A1" s="378" t="s">
        <v>235</v>
      </c>
      <c r="B1" s="378"/>
      <c r="C1" s="378"/>
      <c r="D1" s="378"/>
      <c r="E1" s="378"/>
      <c r="F1" s="378"/>
      <c r="G1" s="378"/>
    </row>
    <row r="2" spans="1:7" s="61" customFormat="1" ht="18" customHeight="1">
      <c r="A2" s="378" t="s">
        <v>234</v>
      </c>
      <c r="B2" s="378"/>
      <c r="C2" s="378"/>
      <c r="D2" s="378"/>
      <c r="E2" s="378"/>
      <c r="F2" s="378"/>
      <c r="G2" s="378"/>
    </row>
    <row r="3" spans="1:7" s="61" customFormat="1" ht="12.75" customHeight="1">
      <c r="A3" s="378" t="s">
        <v>733</v>
      </c>
      <c r="B3" s="378"/>
      <c r="C3" s="378"/>
      <c r="D3" s="378"/>
      <c r="E3" s="378"/>
      <c r="F3" s="378"/>
      <c r="G3" s="378"/>
    </row>
    <row r="4" spans="11:14" ht="7.5" customHeight="1">
      <c r="K4" s="48"/>
      <c r="L4" s="48"/>
      <c r="M4" s="48"/>
      <c r="N4" s="48"/>
    </row>
    <row r="5" spans="1:14" s="28" customFormat="1" ht="12">
      <c r="A5" s="24" t="s">
        <v>302</v>
      </c>
      <c r="B5" s="25" t="s">
        <v>303</v>
      </c>
      <c r="C5" s="26">
        <v>2010</v>
      </c>
      <c r="D5" s="26">
        <v>2011</v>
      </c>
      <c r="E5" s="151">
        <v>2013</v>
      </c>
      <c r="F5" s="27">
        <f aca="true" t="shared" si="0" ref="F5:N5">+E5+1</f>
        <v>2014</v>
      </c>
      <c r="G5" s="27">
        <f t="shared" si="0"/>
        <v>2015</v>
      </c>
      <c r="H5" s="27">
        <f t="shared" si="0"/>
        <v>2016</v>
      </c>
      <c r="I5" s="27">
        <f t="shared" si="0"/>
        <v>2017</v>
      </c>
      <c r="J5" s="27">
        <f t="shared" si="0"/>
        <v>2018</v>
      </c>
      <c r="K5" s="27">
        <f t="shared" si="0"/>
        <v>2019</v>
      </c>
      <c r="L5" s="27">
        <f t="shared" si="0"/>
        <v>2020</v>
      </c>
      <c r="M5" s="27">
        <f t="shared" si="0"/>
        <v>2021</v>
      </c>
      <c r="N5" s="27">
        <f t="shared" si="0"/>
        <v>2022</v>
      </c>
    </row>
    <row r="6" spans="1:14" s="285" customFormat="1" ht="12">
      <c r="A6" s="280" t="s">
        <v>469</v>
      </c>
      <c r="B6" s="281" t="s">
        <v>306</v>
      </c>
      <c r="C6" s="282" t="s">
        <v>305</v>
      </c>
      <c r="D6" s="283"/>
      <c r="E6" s="284">
        <f>+E7</f>
        <v>20862877000</v>
      </c>
      <c r="F6" s="284">
        <f aca="true" t="shared" si="1" ref="F6:N6">+F7</f>
        <v>21648507920</v>
      </c>
      <c r="G6" s="284">
        <f t="shared" si="1"/>
        <v>22189720617.999996</v>
      </c>
      <c r="H6" s="284">
        <f t="shared" si="1"/>
        <v>22744463633.449997</v>
      </c>
      <c r="I6" s="284">
        <f t="shared" si="1"/>
        <v>23313075224.286243</v>
      </c>
      <c r="J6" s="284">
        <f t="shared" si="1"/>
        <v>23895902104.8934</v>
      </c>
      <c r="K6" s="284">
        <f t="shared" si="1"/>
        <v>24493299657.51573</v>
      </c>
      <c r="L6" s="284">
        <f t="shared" si="1"/>
        <v>25105632148.953625</v>
      </c>
      <c r="M6" s="284">
        <f t="shared" si="1"/>
        <v>25733272952.677464</v>
      </c>
      <c r="N6" s="284">
        <f t="shared" si="1"/>
        <v>26376604776.4944</v>
      </c>
    </row>
    <row r="7" spans="1:14" s="32" customFormat="1" ht="12">
      <c r="A7" s="24" t="s">
        <v>470</v>
      </c>
      <c r="B7" s="29" t="s">
        <v>306</v>
      </c>
      <c r="C7" s="26" t="s">
        <v>305</v>
      </c>
      <c r="D7" s="30"/>
      <c r="E7" s="152">
        <f>+E8+E80++E115</f>
        <v>20862877000</v>
      </c>
      <c r="F7" s="152">
        <f aca="true" t="shared" si="2" ref="F7:N7">+F8+F80++F115</f>
        <v>21648507920</v>
      </c>
      <c r="G7" s="152">
        <f t="shared" si="2"/>
        <v>22189720617.999996</v>
      </c>
      <c r="H7" s="152">
        <f t="shared" si="2"/>
        <v>22744463633.449997</v>
      </c>
      <c r="I7" s="152">
        <f t="shared" si="2"/>
        <v>23313075224.286243</v>
      </c>
      <c r="J7" s="152">
        <f t="shared" si="2"/>
        <v>23895902104.8934</v>
      </c>
      <c r="K7" s="152">
        <f t="shared" si="2"/>
        <v>24493299657.51573</v>
      </c>
      <c r="L7" s="152">
        <f t="shared" si="2"/>
        <v>25105632148.953625</v>
      </c>
      <c r="M7" s="152">
        <f t="shared" si="2"/>
        <v>25733272952.677464</v>
      </c>
      <c r="N7" s="152">
        <f t="shared" si="2"/>
        <v>26376604776.4944</v>
      </c>
    </row>
    <row r="8" spans="1:14" s="32" customFormat="1" ht="12">
      <c r="A8" s="24" t="s">
        <v>471</v>
      </c>
      <c r="B8" s="29" t="s">
        <v>307</v>
      </c>
      <c r="C8" s="26" t="s">
        <v>305</v>
      </c>
      <c r="D8" s="30"/>
      <c r="E8" s="152">
        <f>+E9+E33</f>
        <v>6067315000</v>
      </c>
      <c r="F8" s="152">
        <f aca="true" t="shared" si="3" ref="F8:N8">+F9+F33</f>
        <v>6310007600</v>
      </c>
      <c r="G8" s="152">
        <f t="shared" si="3"/>
        <v>6467757789.999999</v>
      </c>
      <c r="H8" s="152">
        <f t="shared" si="3"/>
        <v>6629451734.749998</v>
      </c>
      <c r="I8" s="152">
        <f t="shared" si="3"/>
        <v>6795188028.118748</v>
      </c>
      <c r="J8" s="152">
        <f t="shared" si="3"/>
        <v>6965067728.821716</v>
      </c>
      <c r="K8" s="152">
        <f t="shared" si="3"/>
        <v>7139194422.042258</v>
      </c>
      <c r="L8" s="152">
        <f t="shared" si="3"/>
        <v>7317674282.593315</v>
      </c>
      <c r="M8" s="152">
        <f t="shared" si="3"/>
        <v>7500616139.658147</v>
      </c>
      <c r="N8" s="152">
        <f t="shared" si="3"/>
        <v>7688131543.1496</v>
      </c>
    </row>
    <row r="9" spans="1:14" s="32" customFormat="1" ht="12">
      <c r="A9" s="24" t="s">
        <v>472</v>
      </c>
      <c r="B9" s="29" t="s">
        <v>308</v>
      </c>
      <c r="C9" s="26" t="s">
        <v>305</v>
      </c>
      <c r="D9" s="30">
        <f>+D10+D15+D17+D20+D23+D24+D25+D26+D29+D30+D31</f>
        <v>513773825</v>
      </c>
      <c r="E9" s="152">
        <f>780051000-35000000</f>
        <v>745051000</v>
      </c>
      <c r="F9" s="152">
        <f aca="true" t="shared" si="4" ref="F9:F70">+E9*1.04</f>
        <v>774853040</v>
      </c>
      <c r="G9" s="152">
        <f aca="true" t="shared" si="5" ref="G9:N9">+F9*1.025</f>
        <v>794224365.9999999</v>
      </c>
      <c r="H9" s="152">
        <f t="shared" si="5"/>
        <v>814079975.1499999</v>
      </c>
      <c r="I9" s="152">
        <f t="shared" si="5"/>
        <v>834431974.5287498</v>
      </c>
      <c r="J9" s="152">
        <f t="shared" si="5"/>
        <v>855292773.8919685</v>
      </c>
      <c r="K9" s="152">
        <f t="shared" si="5"/>
        <v>876675093.2392676</v>
      </c>
      <c r="L9" s="152">
        <f t="shared" si="5"/>
        <v>898591970.5702492</v>
      </c>
      <c r="M9" s="152">
        <f t="shared" si="5"/>
        <v>921056769.8345053</v>
      </c>
      <c r="N9" s="152">
        <f t="shared" si="5"/>
        <v>944083189.0803679</v>
      </c>
    </row>
    <row r="10" spans="1:14" ht="12" hidden="1">
      <c r="A10" s="33" t="s">
        <v>473</v>
      </c>
      <c r="B10" s="34" t="s">
        <v>309</v>
      </c>
      <c r="C10" s="35">
        <f>SUM(C11:C14)</f>
        <v>309361930</v>
      </c>
      <c r="D10" s="35">
        <f>SUM(D11:D14)</f>
        <v>310276099</v>
      </c>
      <c r="E10" s="153">
        <f>SUM(E11:E14)</f>
        <v>323838000</v>
      </c>
      <c r="F10" s="152">
        <f t="shared" si="4"/>
        <v>336791520</v>
      </c>
      <c r="G10" s="152">
        <f aca="true" t="shared" si="6" ref="G10:G41">+F10*1.025</f>
        <v>345211307.99999994</v>
      </c>
      <c r="H10" s="153" t="e">
        <f aca="true" t="shared" si="7" ref="H10:N10">SUM(H11:H14)</f>
        <v>#REF!</v>
      </c>
      <c r="I10" s="153" t="e">
        <f t="shared" si="7"/>
        <v>#REF!</v>
      </c>
      <c r="J10" s="153" t="e">
        <f t="shared" si="7"/>
        <v>#REF!</v>
      </c>
      <c r="K10" s="153" t="e">
        <f t="shared" si="7"/>
        <v>#REF!</v>
      </c>
      <c r="L10" s="153" t="e">
        <f t="shared" si="7"/>
        <v>#REF!</v>
      </c>
      <c r="M10" s="153" t="e">
        <f t="shared" si="7"/>
        <v>#REF!</v>
      </c>
      <c r="N10" s="153" t="e">
        <f t="shared" si="7"/>
        <v>#REF!</v>
      </c>
    </row>
    <row r="11" spans="1:14" ht="12" hidden="1">
      <c r="A11" s="33" t="s">
        <v>474</v>
      </c>
      <c r="B11" s="34" t="s">
        <v>310</v>
      </c>
      <c r="C11" s="39">
        <v>214880958</v>
      </c>
      <c r="D11" s="39">
        <v>220694000</v>
      </c>
      <c r="E11" s="154">
        <v>227787000</v>
      </c>
      <c r="F11" s="152">
        <f t="shared" si="4"/>
        <v>236898480</v>
      </c>
      <c r="G11" s="152">
        <f t="shared" si="6"/>
        <v>242820941.99999997</v>
      </c>
      <c r="H11" s="154" t="e">
        <f>+G11*#REF!</f>
        <v>#REF!</v>
      </c>
      <c r="I11" s="154" t="e">
        <f>+H11*#REF!</f>
        <v>#REF!</v>
      </c>
      <c r="J11" s="154" t="e">
        <f>+I11*#REF!</f>
        <v>#REF!</v>
      </c>
      <c r="K11" s="154" t="e">
        <f>+J11*#REF!</f>
        <v>#REF!</v>
      </c>
      <c r="L11" s="154" t="e">
        <f>+K11*#REF!</f>
        <v>#REF!</v>
      </c>
      <c r="M11" s="154" t="e">
        <f>+L11*#REF!</f>
        <v>#REF!</v>
      </c>
      <c r="N11" s="154" t="e">
        <f>+M11*#REF!</f>
        <v>#REF!</v>
      </c>
    </row>
    <row r="12" spans="1:14" ht="24" hidden="1">
      <c r="A12" s="33" t="s">
        <v>475</v>
      </c>
      <c r="B12" s="34" t="s">
        <v>311</v>
      </c>
      <c r="C12" s="39">
        <v>81019457</v>
      </c>
      <c r="D12" s="39">
        <v>79080099</v>
      </c>
      <c r="E12" s="154">
        <v>85050000</v>
      </c>
      <c r="F12" s="152">
        <f t="shared" si="4"/>
        <v>88452000</v>
      </c>
      <c r="G12" s="152">
        <f t="shared" si="6"/>
        <v>90663299.99999999</v>
      </c>
      <c r="H12" s="154" t="e">
        <f>+G12*#REF!</f>
        <v>#REF!</v>
      </c>
      <c r="I12" s="154" t="e">
        <f>+H12*#REF!</f>
        <v>#REF!</v>
      </c>
      <c r="J12" s="154" t="e">
        <f>+I12*#REF!</f>
        <v>#REF!</v>
      </c>
      <c r="K12" s="154" t="e">
        <f>+J12*#REF!</f>
        <v>#REF!</v>
      </c>
      <c r="L12" s="154" t="e">
        <f>+K12*#REF!</f>
        <v>#REF!</v>
      </c>
      <c r="M12" s="154" t="e">
        <f>+L12*#REF!</f>
        <v>#REF!</v>
      </c>
      <c r="N12" s="154" t="e">
        <f>+M12*#REF!</f>
        <v>#REF!</v>
      </c>
    </row>
    <row r="13" spans="1:14" ht="24" hidden="1">
      <c r="A13" s="33" t="s">
        <v>476</v>
      </c>
      <c r="B13" s="34" t="s">
        <v>312</v>
      </c>
      <c r="C13" s="35">
        <v>1000</v>
      </c>
      <c r="D13" s="41">
        <v>1000</v>
      </c>
      <c r="E13" s="153">
        <v>1000</v>
      </c>
      <c r="F13" s="152">
        <f t="shared" si="4"/>
        <v>1040</v>
      </c>
      <c r="G13" s="152">
        <f t="shared" si="6"/>
        <v>1066</v>
      </c>
      <c r="H13" s="154" t="e">
        <f>+G13*#REF!</f>
        <v>#REF!</v>
      </c>
      <c r="I13" s="154" t="e">
        <f>+H13*#REF!</f>
        <v>#REF!</v>
      </c>
      <c r="J13" s="154" t="e">
        <f>+I13*#REF!</f>
        <v>#REF!</v>
      </c>
      <c r="K13" s="154" t="e">
        <f>+J13*#REF!</f>
        <v>#REF!</v>
      </c>
      <c r="L13" s="154" t="e">
        <f>+K13*#REF!</f>
        <v>#REF!</v>
      </c>
      <c r="M13" s="154" t="e">
        <f>+L13*#REF!</f>
        <v>#REF!</v>
      </c>
      <c r="N13" s="154" t="e">
        <f>+M13*#REF!</f>
        <v>#REF!</v>
      </c>
    </row>
    <row r="14" spans="1:14" ht="24" hidden="1">
      <c r="A14" s="33" t="s">
        <v>477</v>
      </c>
      <c r="B14" s="34" t="s">
        <v>313</v>
      </c>
      <c r="C14" s="39">
        <v>13460515</v>
      </c>
      <c r="D14" s="41">
        <v>10501000</v>
      </c>
      <c r="E14" s="154">
        <v>11000000</v>
      </c>
      <c r="F14" s="152">
        <f t="shared" si="4"/>
        <v>11440000</v>
      </c>
      <c r="G14" s="152">
        <f t="shared" si="6"/>
        <v>11725999.999999998</v>
      </c>
      <c r="H14" s="154" t="e">
        <f>+G14*#REF!</f>
        <v>#REF!</v>
      </c>
      <c r="I14" s="154" t="e">
        <f>+H14*#REF!</f>
        <v>#REF!</v>
      </c>
      <c r="J14" s="154" t="e">
        <f>+I14*#REF!</f>
        <v>#REF!</v>
      </c>
      <c r="K14" s="154" t="e">
        <f>+J14*#REF!</f>
        <v>#REF!</v>
      </c>
      <c r="L14" s="154" t="e">
        <f>+K14*#REF!</f>
        <v>#REF!</v>
      </c>
      <c r="M14" s="154" t="e">
        <f>+L14*#REF!</f>
        <v>#REF!</v>
      </c>
      <c r="N14" s="154" t="e">
        <f>+M14*#REF!</f>
        <v>#REF!</v>
      </c>
    </row>
    <row r="15" spans="1:14" ht="12" hidden="1">
      <c r="A15" s="33" t="s">
        <v>4</v>
      </c>
      <c r="B15" s="34" t="s">
        <v>314</v>
      </c>
      <c r="C15" s="35">
        <f>SUM(C16:C16)</f>
        <v>44581265</v>
      </c>
      <c r="D15" s="35">
        <f>SUM(D16:D16)</f>
        <v>43901000</v>
      </c>
      <c r="E15" s="153">
        <f>SUM(E16:E16)</f>
        <v>44241000</v>
      </c>
      <c r="F15" s="152">
        <f t="shared" si="4"/>
        <v>46010640</v>
      </c>
      <c r="G15" s="152">
        <f t="shared" si="6"/>
        <v>47160905.99999999</v>
      </c>
      <c r="H15" s="153" t="e">
        <f aca="true" t="shared" si="8" ref="H15:N15">SUM(H16:H16)</f>
        <v>#REF!</v>
      </c>
      <c r="I15" s="153" t="e">
        <f t="shared" si="8"/>
        <v>#REF!</v>
      </c>
      <c r="J15" s="153" t="e">
        <f t="shared" si="8"/>
        <v>#REF!</v>
      </c>
      <c r="K15" s="153" t="e">
        <f t="shared" si="8"/>
        <v>#REF!</v>
      </c>
      <c r="L15" s="153" t="e">
        <f t="shared" si="8"/>
        <v>#REF!</v>
      </c>
      <c r="M15" s="153" t="e">
        <f t="shared" si="8"/>
        <v>#REF!</v>
      </c>
      <c r="N15" s="153" t="e">
        <f t="shared" si="8"/>
        <v>#REF!</v>
      </c>
    </row>
    <row r="16" spans="1:14" ht="24" hidden="1">
      <c r="A16" s="33" t="s">
        <v>5</v>
      </c>
      <c r="B16" s="34" t="s">
        <v>315</v>
      </c>
      <c r="C16" s="39">
        <v>44581265</v>
      </c>
      <c r="D16" s="39">
        <v>43901000</v>
      </c>
      <c r="E16" s="154">
        <v>44241000</v>
      </c>
      <c r="F16" s="152">
        <f t="shared" si="4"/>
        <v>46010640</v>
      </c>
      <c r="G16" s="152">
        <f t="shared" si="6"/>
        <v>47160905.99999999</v>
      </c>
      <c r="H16" s="154" t="e">
        <f>+G16*#REF!</f>
        <v>#REF!</v>
      </c>
      <c r="I16" s="154" t="e">
        <f>+H16*#REF!</f>
        <v>#REF!</v>
      </c>
      <c r="J16" s="154" t="e">
        <f>+I16*#REF!</f>
        <v>#REF!</v>
      </c>
      <c r="K16" s="154" t="e">
        <f>+J16*#REF!</f>
        <v>#REF!</v>
      </c>
      <c r="L16" s="154" t="e">
        <f>+K16*#REF!</f>
        <v>#REF!</v>
      </c>
      <c r="M16" s="154" t="e">
        <f>+L16*#REF!</f>
        <v>#REF!</v>
      </c>
      <c r="N16" s="154" t="e">
        <f>+M16*#REF!</f>
        <v>#REF!</v>
      </c>
    </row>
    <row r="17" spans="1:14" ht="12" hidden="1">
      <c r="A17" s="33" t="s">
        <v>6</v>
      </c>
      <c r="B17" s="34" t="s">
        <v>316</v>
      </c>
      <c r="C17" s="35">
        <f>SUM(C18:C19)</f>
        <v>16456058</v>
      </c>
      <c r="D17" s="35">
        <f>SUM(D18:D19)</f>
        <v>24713726</v>
      </c>
      <c r="E17" s="153">
        <f>SUM(E18:E19)</f>
        <v>21650000</v>
      </c>
      <c r="F17" s="152">
        <f t="shared" si="4"/>
        <v>22516000</v>
      </c>
      <c r="G17" s="152">
        <f t="shared" si="6"/>
        <v>23078899.999999996</v>
      </c>
      <c r="H17" s="153" t="e">
        <f aca="true" t="shared" si="9" ref="H17:N17">SUM(H18:H19)</f>
        <v>#REF!</v>
      </c>
      <c r="I17" s="153" t="e">
        <f t="shared" si="9"/>
        <v>#REF!</v>
      </c>
      <c r="J17" s="153" t="e">
        <f t="shared" si="9"/>
        <v>#REF!</v>
      </c>
      <c r="K17" s="153" t="e">
        <f t="shared" si="9"/>
        <v>#REF!</v>
      </c>
      <c r="L17" s="153" t="e">
        <f t="shared" si="9"/>
        <v>#REF!</v>
      </c>
      <c r="M17" s="153" t="e">
        <f t="shared" si="9"/>
        <v>#REF!</v>
      </c>
      <c r="N17" s="153" t="e">
        <f t="shared" si="9"/>
        <v>#REF!</v>
      </c>
    </row>
    <row r="18" spans="1:14" ht="24" hidden="1">
      <c r="A18" s="33" t="s">
        <v>7</v>
      </c>
      <c r="B18" s="34" t="s">
        <v>317</v>
      </c>
      <c r="C18" s="39">
        <v>12137871</v>
      </c>
      <c r="D18" s="39">
        <v>10730726</v>
      </c>
      <c r="E18" s="154">
        <v>12500000</v>
      </c>
      <c r="F18" s="152">
        <f t="shared" si="4"/>
        <v>13000000</v>
      </c>
      <c r="G18" s="152">
        <f t="shared" si="6"/>
        <v>13324999.999999998</v>
      </c>
      <c r="H18" s="154" t="e">
        <f>+G18*#REF!</f>
        <v>#REF!</v>
      </c>
      <c r="I18" s="154" t="e">
        <f>+H18*#REF!</f>
        <v>#REF!</v>
      </c>
      <c r="J18" s="154" t="e">
        <f>+I18*#REF!</f>
        <v>#REF!</v>
      </c>
      <c r="K18" s="154" t="e">
        <f>+J18*#REF!</f>
        <v>#REF!</v>
      </c>
      <c r="L18" s="154" t="e">
        <f>+K18*#REF!</f>
        <v>#REF!</v>
      </c>
      <c r="M18" s="154" t="e">
        <f>+L18*#REF!</f>
        <v>#REF!</v>
      </c>
      <c r="N18" s="154" t="e">
        <f>+M18*#REF!</f>
        <v>#REF!</v>
      </c>
    </row>
    <row r="19" spans="1:14" ht="24" customHeight="1" hidden="1">
      <c r="A19" s="33" t="s">
        <v>8</v>
      </c>
      <c r="B19" s="34" t="s">
        <v>318</v>
      </c>
      <c r="C19" s="39">
        <v>4318187</v>
      </c>
      <c r="D19" s="39">
        <v>13983000</v>
      </c>
      <c r="E19" s="154">
        <v>9150000</v>
      </c>
      <c r="F19" s="152">
        <f t="shared" si="4"/>
        <v>9516000</v>
      </c>
      <c r="G19" s="152">
        <f t="shared" si="6"/>
        <v>9753900</v>
      </c>
      <c r="H19" s="154" t="e">
        <f>+G19*#REF!</f>
        <v>#REF!</v>
      </c>
      <c r="I19" s="154" t="e">
        <f>+H19*#REF!</f>
        <v>#REF!</v>
      </c>
      <c r="J19" s="154" t="e">
        <f>+I19*#REF!</f>
        <v>#REF!</v>
      </c>
      <c r="K19" s="154" t="e">
        <f>+J19*#REF!</f>
        <v>#REF!</v>
      </c>
      <c r="L19" s="154" t="e">
        <f>+K19*#REF!</f>
        <v>#REF!</v>
      </c>
      <c r="M19" s="154" t="e">
        <f>+L19*#REF!</f>
        <v>#REF!</v>
      </c>
      <c r="N19" s="154" t="e">
        <f>+M19*#REF!</f>
        <v>#REF!</v>
      </c>
    </row>
    <row r="20" spans="1:14" ht="12" hidden="1">
      <c r="A20" s="33" t="s">
        <v>9</v>
      </c>
      <c r="B20" s="34" t="s">
        <v>319</v>
      </c>
      <c r="C20" s="35">
        <f>SUM(C21:C22)</f>
        <v>990646</v>
      </c>
      <c r="D20" s="35">
        <f>SUM(D21:D22)</f>
        <v>200000</v>
      </c>
      <c r="E20" s="153">
        <f>SUM(E21:E22)</f>
        <v>594000</v>
      </c>
      <c r="F20" s="152">
        <f t="shared" si="4"/>
        <v>617760</v>
      </c>
      <c r="G20" s="152">
        <f t="shared" si="6"/>
        <v>633204</v>
      </c>
      <c r="H20" s="153" t="e">
        <f aca="true" t="shared" si="10" ref="H20:N20">SUM(H21:H22)</f>
        <v>#REF!</v>
      </c>
      <c r="I20" s="153" t="e">
        <f t="shared" si="10"/>
        <v>#REF!</v>
      </c>
      <c r="J20" s="153" t="e">
        <f t="shared" si="10"/>
        <v>#REF!</v>
      </c>
      <c r="K20" s="153" t="e">
        <f t="shared" si="10"/>
        <v>#REF!</v>
      </c>
      <c r="L20" s="153" t="e">
        <f t="shared" si="10"/>
        <v>#REF!</v>
      </c>
      <c r="M20" s="153" t="e">
        <f t="shared" si="10"/>
        <v>#REF!</v>
      </c>
      <c r="N20" s="153" t="e">
        <f t="shared" si="10"/>
        <v>#REF!</v>
      </c>
    </row>
    <row r="21" spans="1:14" ht="12" hidden="1">
      <c r="A21" s="33" t="s">
        <v>10</v>
      </c>
      <c r="B21" s="34" t="s">
        <v>320</v>
      </c>
      <c r="C21" s="39">
        <v>619655</v>
      </c>
      <c r="D21" s="41">
        <v>100000</v>
      </c>
      <c r="E21" s="154">
        <v>359000</v>
      </c>
      <c r="F21" s="152">
        <f t="shared" si="4"/>
        <v>373360</v>
      </c>
      <c r="G21" s="152">
        <f t="shared" si="6"/>
        <v>382693.99999999994</v>
      </c>
      <c r="H21" s="154" t="e">
        <f>+G21*#REF!</f>
        <v>#REF!</v>
      </c>
      <c r="I21" s="154" t="e">
        <f>+H21*#REF!</f>
        <v>#REF!</v>
      </c>
      <c r="J21" s="154" t="e">
        <f>+I21*#REF!</f>
        <v>#REF!</v>
      </c>
      <c r="K21" s="154" t="e">
        <f>+J21*#REF!</f>
        <v>#REF!</v>
      </c>
      <c r="L21" s="154" t="e">
        <f>+K21*#REF!</f>
        <v>#REF!</v>
      </c>
      <c r="M21" s="154" t="e">
        <f>+L21*#REF!</f>
        <v>#REF!</v>
      </c>
      <c r="N21" s="154" t="e">
        <f>+M21*#REF!</f>
        <v>#REF!</v>
      </c>
    </row>
    <row r="22" spans="1:14" ht="12" hidden="1">
      <c r="A22" s="33" t="s">
        <v>11</v>
      </c>
      <c r="B22" s="34" t="s">
        <v>321</v>
      </c>
      <c r="C22" s="39">
        <v>370991</v>
      </c>
      <c r="D22" s="41">
        <v>100000</v>
      </c>
      <c r="E22" s="154">
        <v>235000</v>
      </c>
      <c r="F22" s="152">
        <f t="shared" si="4"/>
        <v>244400</v>
      </c>
      <c r="G22" s="152">
        <f t="shared" si="6"/>
        <v>250509.99999999997</v>
      </c>
      <c r="H22" s="154" t="e">
        <f>+G22*#REF!</f>
        <v>#REF!</v>
      </c>
      <c r="I22" s="154" t="e">
        <f>+H22*#REF!</f>
        <v>#REF!</v>
      </c>
      <c r="J22" s="154" t="e">
        <f>+I22*#REF!</f>
        <v>#REF!</v>
      </c>
      <c r="K22" s="154" t="e">
        <f>+J22*#REF!</f>
        <v>#REF!</v>
      </c>
      <c r="L22" s="154" t="e">
        <f>+K22*#REF!</f>
        <v>#REF!</v>
      </c>
      <c r="M22" s="154" t="e">
        <f>+L22*#REF!</f>
        <v>#REF!</v>
      </c>
      <c r="N22" s="154" t="e">
        <f>+M22*#REF!</f>
        <v>#REF!</v>
      </c>
    </row>
    <row r="23" spans="1:14" ht="12" hidden="1">
      <c r="A23" s="33" t="s">
        <v>12</v>
      </c>
      <c r="B23" s="34" t="s">
        <v>322</v>
      </c>
      <c r="C23" s="35">
        <v>1000</v>
      </c>
      <c r="D23" s="41">
        <v>1000</v>
      </c>
      <c r="E23" s="153">
        <v>1000</v>
      </c>
      <c r="F23" s="152">
        <f t="shared" si="4"/>
        <v>1040</v>
      </c>
      <c r="G23" s="152">
        <f t="shared" si="6"/>
        <v>1066</v>
      </c>
      <c r="H23" s="154" t="e">
        <f>+G23*#REF!</f>
        <v>#REF!</v>
      </c>
      <c r="I23" s="154" t="e">
        <f>+H23*#REF!</f>
        <v>#REF!</v>
      </c>
      <c r="J23" s="154" t="e">
        <f>+I23*#REF!</f>
        <v>#REF!</v>
      </c>
      <c r="K23" s="154" t="e">
        <f>+J23*#REF!</f>
        <v>#REF!</v>
      </c>
      <c r="L23" s="154" t="e">
        <f>+K23*#REF!</f>
        <v>#REF!</v>
      </c>
      <c r="M23" s="154" t="e">
        <f>+L23*#REF!</f>
        <v>#REF!</v>
      </c>
      <c r="N23" s="154" t="e">
        <f>+M23*#REF!</f>
        <v>#REF!</v>
      </c>
    </row>
    <row r="24" spans="1:14" ht="12" hidden="1">
      <c r="A24" s="33" t="s">
        <v>13</v>
      </c>
      <c r="B24" s="34" t="s">
        <v>323</v>
      </c>
      <c r="C24" s="39">
        <v>4949783</v>
      </c>
      <c r="D24" s="39">
        <v>13938000</v>
      </c>
      <c r="E24" s="154">
        <v>11443000</v>
      </c>
      <c r="F24" s="152">
        <f t="shared" si="4"/>
        <v>11900720</v>
      </c>
      <c r="G24" s="152">
        <f t="shared" si="6"/>
        <v>12198237.999999998</v>
      </c>
      <c r="H24" s="154" t="e">
        <f>+G24*#REF!</f>
        <v>#REF!</v>
      </c>
      <c r="I24" s="154" t="e">
        <f>+H24*#REF!</f>
        <v>#REF!</v>
      </c>
      <c r="J24" s="154" t="e">
        <f>+I24*#REF!</f>
        <v>#REF!</v>
      </c>
      <c r="K24" s="154" t="e">
        <f>+J24*#REF!</f>
        <v>#REF!</v>
      </c>
      <c r="L24" s="154" t="e">
        <f>+K24*#REF!</f>
        <v>#REF!</v>
      </c>
      <c r="M24" s="154" t="e">
        <f>+L24*#REF!</f>
        <v>#REF!</v>
      </c>
      <c r="N24" s="154" t="e">
        <f>+M24*#REF!</f>
        <v>#REF!</v>
      </c>
    </row>
    <row r="25" spans="1:14" ht="12" hidden="1">
      <c r="A25" s="33" t="s">
        <v>14</v>
      </c>
      <c r="B25" s="34" t="s">
        <v>324</v>
      </c>
      <c r="C25" s="39">
        <v>150203000</v>
      </c>
      <c r="D25" s="39">
        <v>82801000</v>
      </c>
      <c r="E25" s="154">
        <v>125000000</v>
      </c>
      <c r="F25" s="152">
        <f t="shared" si="4"/>
        <v>130000000</v>
      </c>
      <c r="G25" s="152">
        <f t="shared" si="6"/>
        <v>133249999.99999999</v>
      </c>
      <c r="H25" s="154" t="e">
        <f>+G25*#REF!</f>
        <v>#REF!</v>
      </c>
      <c r="I25" s="154" t="e">
        <f>+H25*#REF!</f>
        <v>#REF!</v>
      </c>
      <c r="J25" s="154" t="e">
        <f>+I25*#REF!</f>
        <v>#REF!</v>
      </c>
      <c r="K25" s="154" t="e">
        <f>+J25*#REF!</f>
        <v>#REF!</v>
      </c>
      <c r="L25" s="154" t="e">
        <f>+K25*#REF!</f>
        <v>#REF!</v>
      </c>
      <c r="M25" s="154" t="e">
        <f>+L25*#REF!</f>
        <v>#REF!</v>
      </c>
      <c r="N25" s="154" t="e">
        <f>+M25*#REF!</f>
        <v>#REF!</v>
      </c>
    </row>
    <row r="26" spans="1:14" ht="12" hidden="1">
      <c r="A26" s="33" t="s">
        <v>15</v>
      </c>
      <c r="B26" s="34" t="s">
        <v>325</v>
      </c>
      <c r="C26" s="35">
        <f>SUM(C27:C28)</f>
        <v>71496000</v>
      </c>
      <c r="D26" s="35">
        <f>SUM(D27:D28)</f>
        <v>19366000</v>
      </c>
      <c r="E26" s="153">
        <f>SUM(E27:E28)</f>
        <v>36353000</v>
      </c>
      <c r="F26" s="152">
        <f t="shared" si="4"/>
        <v>37807120</v>
      </c>
      <c r="G26" s="152">
        <f t="shared" si="6"/>
        <v>38752298</v>
      </c>
      <c r="H26" s="153" t="e">
        <f aca="true" t="shared" si="11" ref="H26:N26">SUM(H27:H28)</f>
        <v>#REF!</v>
      </c>
      <c r="I26" s="153" t="e">
        <f t="shared" si="11"/>
        <v>#REF!</v>
      </c>
      <c r="J26" s="153" t="e">
        <f t="shared" si="11"/>
        <v>#REF!</v>
      </c>
      <c r="K26" s="153" t="e">
        <f t="shared" si="11"/>
        <v>#REF!</v>
      </c>
      <c r="L26" s="153" t="e">
        <f t="shared" si="11"/>
        <v>#REF!</v>
      </c>
      <c r="M26" s="153" t="e">
        <f t="shared" si="11"/>
        <v>#REF!</v>
      </c>
      <c r="N26" s="153" t="e">
        <f t="shared" si="11"/>
        <v>#REF!</v>
      </c>
    </row>
    <row r="27" spans="1:14" ht="24" hidden="1">
      <c r="A27" s="33" t="s">
        <v>16</v>
      </c>
      <c r="B27" s="34" t="s">
        <v>326</v>
      </c>
      <c r="C27" s="39">
        <v>23866000</v>
      </c>
      <c r="D27" s="39">
        <v>6691000</v>
      </c>
      <c r="E27" s="154">
        <v>16341000</v>
      </c>
      <c r="F27" s="152">
        <f t="shared" si="4"/>
        <v>16994640</v>
      </c>
      <c r="G27" s="152">
        <f t="shared" si="6"/>
        <v>17419506</v>
      </c>
      <c r="H27" s="154" t="e">
        <f>+G27*#REF!</f>
        <v>#REF!</v>
      </c>
      <c r="I27" s="154" t="e">
        <f>+H27*#REF!</f>
        <v>#REF!</v>
      </c>
      <c r="J27" s="154" t="e">
        <f>+I27*#REF!</f>
        <v>#REF!</v>
      </c>
      <c r="K27" s="154" t="e">
        <f>+J27*#REF!</f>
        <v>#REF!</v>
      </c>
      <c r="L27" s="154" t="e">
        <f>+K27*#REF!</f>
        <v>#REF!</v>
      </c>
      <c r="M27" s="154" t="e">
        <f>+L27*#REF!</f>
        <v>#REF!</v>
      </c>
      <c r="N27" s="154" t="e">
        <f>+M27*#REF!</f>
        <v>#REF!</v>
      </c>
    </row>
    <row r="28" spans="1:14" ht="12" hidden="1">
      <c r="A28" s="33" t="s">
        <v>715</v>
      </c>
      <c r="B28" s="34" t="s">
        <v>327</v>
      </c>
      <c r="C28" s="39">
        <v>47630000</v>
      </c>
      <c r="D28" s="39">
        <v>12675000</v>
      </c>
      <c r="E28" s="154">
        <v>20012000</v>
      </c>
      <c r="F28" s="152">
        <f t="shared" si="4"/>
        <v>20812480</v>
      </c>
      <c r="G28" s="152">
        <f t="shared" si="6"/>
        <v>21332792</v>
      </c>
      <c r="H28" s="154" t="e">
        <f>+G28*#REF!</f>
        <v>#REF!</v>
      </c>
      <c r="I28" s="154" t="e">
        <f>+H28*#REF!</f>
        <v>#REF!</v>
      </c>
      <c r="J28" s="154" t="e">
        <f>+I28*#REF!</f>
        <v>#REF!</v>
      </c>
      <c r="K28" s="154" t="e">
        <f>+J28*#REF!</f>
        <v>#REF!</v>
      </c>
      <c r="L28" s="154" t="e">
        <f>+K28*#REF!</f>
        <v>#REF!</v>
      </c>
      <c r="M28" s="154" t="e">
        <f>+L28*#REF!</f>
        <v>#REF!</v>
      </c>
      <c r="N28" s="154" t="e">
        <f>+M28*#REF!</f>
        <v>#REF!</v>
      </c>
    </row>
    <row r="29" spans="1:14" ht="24" hidden="1">
      <c r="A29" s="33" t="s">
        <v>17</v>
      </c>
      <c r="B29" s="34" t="s">
        <v>328</v>
      </c>
      <c r="C29" s="39">
        <v>34128920</v>
      </c>
      <c r="D29" s="41">
        <v>0</v>
      </c>
      <c r="E29" s="153">
        <v>30000000</v>
      </c>
      <c r="F29" s="152">
        <f t="shared" si="4"/>
        <v>31200000</v>
      </c>
      <c r="G29" s="152">
        <f t="shared" si="6"/>
        <v>31979999.999999996</v>
      </c>
      <c r="H29" s="154" t="e">
        <f>+G29*#REF!</f>
        <v>#REF!</v>
      </c>
      <c r="I29" s="154" t="e">
        <f>+H29*#REF!</f>
        <v>#REF!</v>
      </c>
      <c r="J29" s="154" t="e">
        <f>+I29*#REF!</f>
        <v>#REF!</v>
      </c>
      <c r="K29" s="154" t="e">
        <f>+J29*#REF!</f>
        <v>#REF!</v>
      </c>
      <c r="L29" s="154" t="e">
        <f>+K29*#REF!</f>
        <v>#REF!</v>
      </c>
      <c r="M29" s="154" t="e">
        <f>+L29*#REF!</f>
        <v>#REF!</v>
      </c>
      <c r="N29" s="154" t="e">
        <f>+M29*#REF!</f>
        <v>#REF!</v>
      </c>
    </row>
    <row r="30" spans="1:14" ht="24" hidden="1">
      <c r="A30" s="33" t="s">
        <v>18</v>
      </c>
      <c r="B30" s="34" t="s">
        <v>329</v>
      </c>
      <c r="C30" s="39">
        <v>59591000</v>
      </c>
      <c r="D30" s="39">
        <v>8898000</v>
      </c>
      <c r="E30" s="154">
        <v>14000000</v>
      </c>
      <c r="F30" s="152">
        <f t="shared" si="4"/>
        <v>14560000</v>
      </c>
      <c r="G30" s="152">
        <f t="shared" si="6"/>
        <v>14923999.999999998</v>
      </c>
      <c r="H30" s="154" t="e">
        <f>+G30*#REF!</f>
        <v>#REF!</v>
      </c>
      <c r="I30" s="154" t="e">
        <f>+H30*#REF!</f>
        <v>#REF!</v>
      </c>
      <c r="J30" s="154" t="e">
        <f>+I30*#REF!</f>
        <v>#REF!</v>
      </c>
      <c r="K30" s="154" t="e">
        <f>+J30*#REF!</f>
        <v>#REF!</v>
      </c>
      <c r="L30" s="154" t="e">
        <f>+K30*#REF!</f>
        <v>#REF!</v>
      </c>
      <c r="M30" s="154" t="e">
        <f>+L30*#REF!</f>
        <v>#REF!</v>
      </c>
      <c r="N30" s="154" t="e">
        <f>+M30*#REF!</f>
        <v>#REF!</v>
      </c>
    </row>
    <row r="31" spans="1:14" ht="12" hidden="1">
      <c r="A31" s="33" t="s">
        <v>397</v>
      </c>
      <c r="B31" s="34" t="s">
        <v>330</v>
      </c>
      <c r="C31" s="39">
        <f>+C32</f>
        <v>35716000</v>
      </c>
      <c r="D31" s="39">
        <f>+D32</f>
        <v>9679000</v>
      </c>
      <c r="E31" s="154">
        <f>+E32</f>
        <v>14500000</v>
      </c>
      <c r="F31" s="152">
        <f t="shared" si="4"/>
        <v>15080000</v>
      </c>
      <c r="G31" s="152">
        <f t="shared" si="6"/>
        <v>15456999.999999998</v>
      </c>
      <c r="H31" s="154" t="e">
        <f aca="true" t="shared" si="12" ref="H31:N31">+H32</f>
        <v>#REF!</v>
      </c>
      <c r="I31" s="154" t="e">
        <f t="shared" si="12"/>
        <v>#REF!</v>
      </c>
      <c r="J31" s="154" t="e">
        <f t="shared" si="12"/>
        <v>#REF!</v>
      </c>
      <c r="K31" s="154" t="e">
        <f t="shared" si="12"/>
        <v>#REF!</v>
      </c>
      <c r="L31" s="154" t="e">
        <f t="shared" si="12"/>
        <v>#REF!</v>
      </c>
      <c r="M31" s="154" t="e">
        <f t="shared" si="12"/>
        <v>#REF!</v>
      </c>
      <c r="N31" s="154" t="e">
        <f t="shared" si="12"/>
        <v>#REF!</v>
      </c>
    </row>
    <row r="32" spans="1:14" ht="12" hidden="1">
      <c r="A32" s="33" t="s">
        <v>398</v>
      </c>
      <c r="B32" s="34" t="s">
        <v>399</v>
      </c>
      <c r="C32" s="39">
        <v>35716000</v>
      </c>
      <c r="D32" s="39">
        <v>9679000</v>
      </c>
      <c r="E32" s="154">
        <v>14500000</v>
      </c>
      <c r="F32" s="152">
        <f t="shared" si="4"/>
        <v>15080000</v>
      </c>
      <c r="G32" s="152">
        <f t="shared" si="6"/>
        <v>15456999.999999998</v>
      </c>
      <c r="H32" s="154" t="e">
        <f>+G32*#REF!</f>
        <v>#REF!</v>
      </c>
      <c r="I32" s="154" t="e">
        <f>+H32*#REF!</f>
        <v>#REF!</v>
      </c>
      <c r="J32" s="154" t="e">
        <f>+I32*#REF!</f>
        <v>#REF!</v>
      </c>
      <c r="K32" s="154" t="e">
        <f>+J32*#REF!</f>
        <v>#REF!</v>
      </c>
      <c r="L32" s="154" t="e">
        <f>+K32*#REF!</f>
        <v>#REF!</v>
      </c>
      <c r="M32" s="154" t="e">
        <f>+L32*#REF!</f>
        <v>#REF!</v>
      </c>
      <c r="N32" s="154" t="e">
        <f>+M32*#REF!</f>
        <v>#REF!</v>
      </c>
    </row>
    <row r="33" spans="1:14" s="32" customFormat="1" ht="12">
      <c r="A33" s="24" t="s">
        <v>19</v>
      </c>
      <c r="B33" s="29" t="s">
        <v>331</v>
      </c>
      <c r="C33" s="26" t="s">
        <v>291</v>
      </c>
      <c r="D33" s="30"/>
      <c r="E33" s="152">
        <f>5289264000+33000000</f>
        <v>5322264000</v>
      </c>
      <c r="F33" s="152">
        <f t="shared" si="4"/>
        <v>5535154560</v>
      </c>
      <c r="G33" s="152">
        <f t="shared" si="6"/>
        <v>5673533423.999999</v>
      </c>
      <c r="H33" s="152">
        <f aca="true" t="shared" si="13" ref="H33:N33">+G33*1.025</f>
        <v>5815371759.599998</v>
      </c>
      <c r="I33" s="152">
        <f t="shared" si="13"/>
        <v>5960756053.589998</v>
      </c>
      <c r="J33" s="152">
        <f t="shared" si="13"/>
        <v>6109774954.929748</v>
      </c>
      <c r="K33" s="152">
        <f t="shared" si="13"/>
        <v>6262519328.802991</v>
      </c>
      <c r="L33" s="152">
        <f t="shared" si="13"/>
        <v>6419082312.023066</v>
      </c>
      <c r="M33" s="152">
        <f t="shared" si="13"/>
        <v>6579559369.823642</v>
      </c>
      <c r="N33" s="152">
        <f t="shared" si="13"/>
        <v>6744048354.069232</v>
      </c>
    </row>
    <row r="34" spans="1:14" ht="12" hidden="1">
      <c r="A34" s="33" t="s">
        <v>20</v>
      </c>
      <c r="B34" s="34" t="s">
        <v>332</v>
      </c>
      <c r="C34" s="35" t="s">
        <v>305</v>
      </c>
      <c r="D34" s="41" t="e">
        <f>+D35+D37+#REF!+D38</f>
        <v>#REF!</v>
      </c>
      <c r="E34" s="153">
        <f>+E35+E37+E38</f>
        <v>19370000</v>
      </c>
      <c r="F34" s="152">
        <f t="shared" si="4"/>
        <v>20144800</v>
      </c>
      <c r="G34" s="152">
        <f t="shared" si="6"/>
        <v>20648420</v>
      </c>
      <c r="H34" s="153" t="e">
        <f aca="true" t="shared" si="14" ref="H34:N34">+H35+H37+H38</f>
        <v>#REF!</v>
      </c>
      <c r="I34" s="153" t="e">
        <f t="shared" si="14"/>
        <v>#REF!</v>
      </c>
      <c r="J34" s="153" t="e">
        <f t="shared" si="14"/>
        <v>#REF!</v>
      </c>
      <c r="K34" s="153" t="e">
        <f t="shared" si="14"/>
        <v>#REF!</v>
      </c>
      <c r="L34" s="153" t="e">
        <f t="shared" si="14"/>
        <v>#REF!</v>
      </c>
      <c r="M34" s="153" t="e">
        <f t="shared" si="14"/>
        <v>#REF!</v>
      </c>
      <c r="N34" s="153" t="e">
        <f t="shared" si="14"/>
        <v>#REF!</v>
      </c>
    </row>
    <row r="35" spans="1:14" ht="36" hidden="1">
      <c r="A35" s="33" t="s">
        <v>21</v>
      </c>
      <c r="B35" s="34" t="s">
        <v>333</v>
      </c>
      <c r="C35" s="41">
        <f>+C36</f>
        <v>17948376</v>
      </c>
      <c r="D35" s="41">
        <f>+D36</f>
        <v>3785991</v>
      </c>
      <c r="E35" s="153">
        <f>+E36</f>
        <v>11800000</v>
      </c>
      <c r="F35" s="152">
        <f t="shared" si="4"/>
        <v>12272000</v>
      </c>
      <c r="G35" s="152">
        <f t="shared" si="6"/>
        <v>12578799.999999998</v>
      </c>
      <c r="H35" s="153" t="e">
        <f aca="true" t="shared" si="15" ref="H35:N35">+H36</f>
        <v>#REF!</v>
      </c>
      <c r="I35" s="153" t="e">
        <f t="shared" si="15"/>
        <v>#REF!</v>
      </c>
      <c r="J35" s="153" t="e">
        <f t="shared" si="15"/>
        <v>#REF!</v>
      </c>
      <c r="K35" s="153" t="e">
        <f t="shared" si="15"/>
        <v>#REF!</v>
      </c>
      <c r="L35" s="153" t="e">
        <f t="shared" si="15"/>
        <v>#REF!</v>
      </c>
      <c r="M35" s="153" t="e">
        <f t="shared" si="15"/>
        <v>#REF!</v>
      </c>
      <c r="N35" s="153" t="e">
        <f t="shared" si="15"/>
        <v>#REF!</v>
      </c>
    </row>
    <row r="36" spans="1:14" ht="12" hidden="1">
      <c r="A36" s="33" t="s">
        <v>22</v>
      </c>
      <c r="B36" s="34" t="s">
        <v>334</v>
      </c>
      <c r="C36" s="39">
        <v>17948376</v>
      </c>
      <c r="D36" s="39">
        <v>3785991</v>
      </c>
      <c r="E36" s="153">
        <v>11800000</v>
      </c>
      <c r="F36" s="152">
        <f t="shared" si="4"/>
        <v>12272000</v>
      </c>
      <c r="G36" s="152">
        <f t="shared" si="6"/>
        <v>12578799.999999998</v>
      </c>
      <c r="H36" s="154" t="e">
        <f>+G36*#REF!</f>
        <v>#REF!</v>
      </c>
      <c r="I36" s="154" t="e">
        <f>+H36*#REF!</f>
        <v>#REF!</v>
      </c>
      <c r="J36" s="154" t="e">
        <f>+I36*#REF!</f>
        <v>#REF!</v>
      </c>
      <c r="K36" s="154" t="e">
        <f>+J36*#REF!</f>
        <v>#REF!</v>
      </c>
      <c r="L36" s="154" t="e">
        <f>+K36*#REF!</f>
        <v>#REF!</v>
      </c>
      <c r="M36" s="154" t="e">
        <f>+L36*#REF!</f>
        <v>#REF!</v>
      </c>
      <c r="N36" s="154" t="e">
        <f>+M36*#REF!</f>
        <v>#REF!</v>
      </c>
    </row>
    <row r="37" spans="1:14" ht="12" hidden="1">
      <c r="A37" s="33" t="s">
        <v>23</v>
      </c>
      <c r="B37" s="34" t="s">
        <v>335</v>
      </c>
      <c r="C37" s="39">
        <v>7609000</v>
      </c>
      <c r="D37" s="39">
        <v>5046600</v>
      </c>
      <c r="E37" s="153">
        <v>7569000</v>
      </c>
      <c r="F37" s="152">
        <f t="shared" si="4"/>
        <v>7871760</v>
      </c>
      <c r="G37" s="152">
        <f t="shared" si="6"/>
        <v>8068553.999999999</v>
      </c>
      <c r="H37" s="154" t="e">
        <f>+G37*#REF!</f>
        <v>#REF!</v>
      </c>
      <c r="I37" s="154" t="e">
        <f>+H37*#REF!</f>
        <v>#REF!</v>
      </c>
      <c r="J37" s="154" t="e">
        <f>+I37*#REF!</f>
        <v>#REF!</v>
      </c>
      <c r="K37" s="154" t="e">
        <f>+J37*#REF!</f>
        <v>#REF!</v>
      </c>
      <c r="L37" s="154" t="e">
        <f>+K37*#REF!</f>
        <v>#REF!</v>
      </c>
      <c r="M37" s="154" t="e">
        <f>+L37*#REF!</f>
        <v>#REF!</v>
      </c>
      <c r="N37" s="154" t="e">
        <f>+M37*#REF!</f>
        <v>#REF!</v>
      </c>
    </row>
    <row r="38" spans="1:14" ht="12" hidden="1">
      <c r="A38" s="33" t="s">
        <v>24</v>
      </c>
      <c r="B38" s="34" t="s">
        <v>337</v>
      </c>
      <c r="C38" s="35" t="s">
        <v>305</v>
      </c>
      <c r="D38" s="41">
        <v>1000</v>
      </c>
      <c r="E38" s="153">
        <v>1000</v>
      </c>
      <c r="F38" s="152">
        <f t="shared" si="4"/>
        <v>1040</v>
      </c>
      <c r="G38" s="152">
        <f t="shared" si="6"/>
        <v>1066</v>
      </c>
      <c r="H38" s="154" t="e">
        <f>+G38*#REF!</f>
        <v>#REF!</v>
      </c>
      <c r="I38" s="154" t="e">
        <f>+H38*#REF!</f>
        <v>#REF!</v>
      </c>
      <c r="J38" s="154" t="e">
        <f>+I38*#REF!</f>
        <v>#REF!</v>
      </c>
      <c r="K38" s="154" t="e">
        <f>+J38*#REF!</f>
        <v>#REF!</v>
      </c>
      <c r="L38" s="154" t="e">
        <f>+K38*#REF!</f>
        <v>#REF!</v>
      </c>
      <c r="M38" s="154" t="e">
        <f>+L38*#REF!</f>
        <v>#REF!</v>
      </c>
      <c r="N38" s="154" t="e">
        <f>+M38*#REF!</f>
        <v>#REF!</v>
      </c>
    </row>
    <row r="39" spans="1:14" ht="12" hidden="1">
      <c r="A39" s="33" t="s">
        <v>25</v>
      </c>
      <c r="B39" s="34" t="s">
        <v>338</v>
      </c>
      <c r="C39" s="35"/>
      <c r="D39" s="26">
        <f>+D40+D41+D43</f>
        <v>47376047</v>
      </c>
      <c r="E39" s="152">
        <f>+E40+E41+E43</f>
        <v>52250000</v>
      </c>
      <c r="F39" s="152">
        <f t="shared" si="4"/>
        <v>54340000</v>
      </c>
      <c r="G39" s="152">
        <f t="shared" si="6"/>
        <v>55698499.99999999</v>
      </c>
      <c r="H39" s="152" t="e">
        <f aca="true" t="shared" si="16" ref="H39:N39">+H40+H41+H43</f>
        <v>#REF!</v>
      </c>
      <c r="I39" s="152" t="e">
        <f t="shared" si="16"/>
        <v>#REF!</v>
      </c>
      <c r="J39" s="152" t="e">
        <f t="shared" si="16"/>
        <v>#REF!</v>
      </c>
      <c r="K39" s="152" t="e">
        <f t="shared" si="16"/>
        <v>#REF!</v>
      </c>
      <c r="L39" s="152" t="e">
        <f t="shared" si="16"/>
        <v>#REF!</v>
      </c>
      <c r="M39" s="152" t="e">
        <f t="shared" si="16"/>
        <v>#REF!</v>
      </c>
      <c r="N39" s="152" t="e">
        <f t="shared" si="16"/>
        <v>#REF!</v>
      </c>
    </row>
    <row r="40" spans="1:14" ht="12" hidden="1">
      <c r="A40" s="33" t="s">
        <v>26</v>
      </c>
      <c r="B40" s="34" t="s">
        <v>339</v>
      </c>
      <c r="C40" s="39">
        <v>33046159</v>
      </c>
      <c r="D40" s="39">
        <v>36624247</v>
      </c>
      <c r="E40" s="154">
        <v>41000000</v>
      </c>
      <c r="F40" s="152">
        <f t="shared" si="4"/>
        <v>42640000</v>
      </c>
      <c r="G40" s="152">
        <f t="shared" si="6"/>
        <v>43705999.99999999</v>
      </c>
      <c r="H40" s="154" t="e">
        <f>+G40*#REF!</f>
        <v>#REF!</v>
      </c>
      <c r="I40" s="154" t="e">
        <f>+H40*#REF!</f>
        <v>#REF!</v>
      </c>
      <c r="J40" s="154" t="e">
        <f>+I40*#REF!</f>
        <v>#REF!</v>
      </c>
      <c r="K40" s="154" t="e">
        <f>+J40*#REF!</f>
        <v>#REF!</v>
      </c>
      <c r="L40" s="154" t="e">
        <f>+K40*#REF!</f>
        <v>#REF!</v>
      </c>
      <c r="M40" s="154" t="e">
        <f>+L40*#REF!</f>
        <v>#REF!</v>
      </c>
      <c r="N40" s="154" t="e">
        <f>+M40*#REF!</f>
        <v>#REF!</v>
      </c>
    </row>
    <row r="41" spans="1:14" ht="12" hidden="1">
      <c r="A41" s="33" t="s">
        <v>27</v>
      </c>
      <c r="B41" s="34" t="s">
        <v>340</v>
      </c>
      <c r="C41" s="35">
        <f>+C42</f>
        <v>429000</v>
      </c>
      <c r="D41" s="35">
        <f>+D42</f>
        <v>140000</v>
      </c>
      <c r="E41" s="153">
        <f>+E42</f>
        <v>250000</v>
      </c>
      <c r="F41" s="152">
        <f t="shared" si="4"/>
        <v>260000</v>
      </c>
      <c r="G41" s="152">
        <f t="shared" si="6"/>
        <v>266500</v>
      </c>
      <c r="H41" s="153" t="e">
        <f aca="true" t="shared" si="17" ref="H41:N41">+H42</f>
        <v>#REF!</v>
      </c>
      <c r="I41" s="153" t="e">
        <f t="shared" si="17"/>
        <v>#REF!</v>
      </c>
      <c r="J41" s="153" t="e">
        <f t="shared" si="17"/>
        <v>#REF!</v>
      </c>
      <c r="K41" s="153" t="e">
        <f t="shared" si="17"/>
        <v>#REF!</v>
      </c>
      <c r="L41" s="153" t="e">
        <f t="shared" si="17"/>
        <v>#REF!</v>
      </c>
      <c r="M41" s="153" t="e">
        <f t="shared" si="17"/>
        <v>#REF!</v>
      </c>
      <c r="N41" s="153" t="e">
        <f t="shared" si="17"/>
        <v>#REF!</v>
      </c>
    </row>
    <row r="42" spans="1:14" ht="12" hidden="1">
      <c r="A42" s="33" t="s">
        <v>28</v>
      </c>
      <c r="B42" s="34" t="s">
        <v>341</v>
      </c>
      <c r="C42" s="39">
        <v>429000</v>
      </c>
      <c r="D42" s="39">
        <v>140000</v>
      </c>
      <c r="E42" s="154">
        <v>250000</v>
      </c>
      <c r="F42" s="152">
        <f t="shared" si="4"/>
        <v>260000</v>
      </c>
      <c r="G42" s="152">
        <f aca="true" t="shared" si="18" ref="G42:G73">+F42*1.025</f>
        <v>266500</v>
      </c>
      <c r="H42" s="154" t="e">
        <f>+G42*#REF!</f>
        <v>#REF!</v>
      </c>
      <c r="I42" s="154" t="e">
        <f>+H42*#REF!</f>
        <v>#REF!</v>
      </c>
      <c r="J42" s="154" t="e">
        <f>+I42*#REF!</f>
        <v>#REF!</v>
      </c>
      <c r="K42" s="154" t="e">
        <f>+J42*#REF!</f>
        <v>#REF!</v>
      </c>
      <c r="L42" s="154" t="e">
        <f>+K42*#REF!</f>
        <v>#REF!</v>
      </c>
      <c r="M42" s="154" t="e">
        <f>+L42*#REF!</f>
        <v>#REF!</v>
      </c>
      <c r="N42" s="154" t="e">
        <f>+M42*#REF!</f>
        <v>#REF!</v>
      </c>
    </row>
    <row r="43" spans="1:14" ht="12" hidden="1">
      <c r="A43" s="33" t="s">
        <v>29</v>
      </c>
      <c r="B43" s="34" t="s">
        <v>342</v>
      </c>
      <c r="C43" s="35">
        <f>+C44</f>
        <v>9047866</v>
      </c>
      <c r="D43" s="35">
        <f>+D44</f>
        <v>10611800</v>
      </c>
      <c r="E43" s="153">
        <f>+E44</f>
        <v>11000000</v>
      </c>
      <c r="F43" s="152">
        <f t="shared" si="4"/>
        <v>11440000</v>
      </c>
      <c r="G43" s="152">
        <f t="shared" si="18"/>
        <v>11725999.999999998</v>
      </c>
      <c r="H43" s="153" t="e">
        <f aca="true" t="shared" si="19" ref="H43:N43">+H44</f>
        <v>#REF!</v>
      </c>
      <c r="I43" s="153" t="e">
        <f t="shared" si="19"/>
        <v>#REF!</v>
      </c>
      <c r="J43" s="153" t="e">
        <f t="shared" si="19"/>
        <v>#REF!</v>
      </c>
      <c r="K43" s="153" t="e">
        <f t="shared" si="19"/>
        <v>#REF!</v>
      </c>
      <c r="L43" s="153" t="e">
        <f t="shared" si="19"/>
        <v>#REF!</v>
      </c>
      <c r="M43" s="153" t="e">
        <f t="shared" si="19"/>
        <v>#REF!</v>
      </c>
      <c r="N43" s="153" t="e">
        <f t="shared" si="19"/>
        <v>#REF!</v>
      </c>
    </row>
    <row r="44" spans="1:14" ht="12" hidden="1">
      <c r="A44" s="33" t="s">
        <v>30</v>
      </c>
      <c r="B44" s="34" t="s">
        <v>343</v>
      </c>
      <c r="C44" s="39">
        <v>9047866</v>
      </c>
      <c r="D44" s="39">
        <v>10611800</v>
      </c>
      <c r="E44" s="154">
        <v>11000000</v>
      </c>
      <c r="F44" s="152">
        <f t="shared" si="4"/>
        <v>11440000</v>
      </c>
      <c r="G44" s="152">
        <f t="shared" si="18"/>
        <v>11725999.999999998</v>
      </c>
      <c r="H44" s="154" t="e">
        <f>+G44*#REF!</f>
        <v>#REF!</v>
      </c>
      <c r="I44" s="154" t="e">
        <f>+H44*#REF!</f>
        <v>#REF!</v>
      </c>
      <c r="J44" s="154" t="e">
        <f>+I44*#REF!</f>
        <v>#REF!</v>
      </c>
      <c r="K44" s="154" t="e">
        <f>+J44*#REF!</f>
        <v>#REF!</v>
      </c>
      <c r="L44" s="154" t="e">
        <f>+K44*#REF!</f>
        <v>#REF!</v>
      </c>
      <c r="M44" s="154" t="e">
        <f>+L44*#REF!</f>
        <v>#REF!</v>
      </c>
      <c r="N44" s="154" t="e">
        <f>+M44*#REF!</f>
        <v>#REF!</v>
      </c>
    </row>
    <row r="45" spans="1:14" ht="12" hidden="1">
      <c r="A45" s="33" t="s">
        <v>31</v>
      </c>
      <c r="B45" s="34" t="s">
        <v>344</v>
      </c>
      <c r="C45" s="41">
        <v>1000</v>
      </c>
      <c r="D45" s="41">
        <v>1000</v>
      </c>
      <c r="E45" s="153">
        <v>1000</v>
      </c>
      <c r="F45" s="152">
        <f t="shared" si="4"/>
        <v>1040</v>
      </c>
      <c r="G45" s="152">
        <f t="shared" si="18"/>
        <v>1066</v>
      </c>
      <c r="H45" s="154" t="e">
        <f>+G45*#REF!</f>
        <v>#REF!</v>
      </c>
      <c r="I45" s="154" t="e">
        <f>+H45*#REF!</f>
        <v>#REF!</v>
      </c>
      <c r="J45" s="154" t="e">
        <f>+I45*#REF!</f>
        <v>#REF!</v>
      </c>
      <c r="K45" s="154" t="e">
        <f>+J45*#REF!</f>
        <v>#REF!</v>
      </c>
      <c r="L45" s="154" t="e">
        <f>+K45*#REF!</f>
        <v>#REF!</v>
      </c>
      <c r="M45" s="154" t="e">
        <f>+L45*#REF!</f>
        <v>#REF!</v>
      </c>
      <c r="N45" s="154" t="e">
        <f>+M45*#REF!</f>
        <v>#REF!</v>
      </c>
    </row>
    <row r="46" spans="1:14" ht="12" hidden="1">
      <c r="A46" s="33" t="s">
        <v>32</v>
      </c>
      <c r="B46" s="34" t="s">
        <v>345</v>
      </c>
      <c r="C46" s="35">
        <f>+C47</f>
        <v>9250250</v>
      </c>
      <c r="D46" s="35">
        <f>+D47</f>
        <v>6786900</v>
      </c>
      <c r="E46" s="153">
        <f>+E47</f>
        <v>9800000</v>
      </c>
      <c r="F46" s="152">
        <f t="shared" si="4"/>
        <v>10192000</v>
      </c>
      <c r="G46" s="152">
        <f t="shared" si="18"/>
        <v>10446800</v>
      </c>
      <c r="H46" s="153" t="e">
        <f aca="true" t="shared" si="20" ref="H46:N46">+H47</f>
        <v>#REF!</v>
      </c>
      <c r="I46" s="153" t="e">
        <f t="shared" si="20"/>
        <v>#REF!</v>
      </c>
      <c r="J46" s="153" t="e">
        <f t="shared" si="20"/>
        <v>#REF!</v>
      </c>
      <c r="K46" s="153" t="e">
        <f t="shared" si="20"/>
        <v>#REF!</v>
      </c>
      <c r="L46" s="153" t="e">
        <f t="shared" si="20"/>
        <v>#REF!</v>
      </c>
      <c r="M46" s="153" t="e">
        <f t="shared" si="20"/>
        <v>#REF!</v>
      </c>
      <c r="N46" s="153" t="e">
        <f t="shared" si="20"/>
        <v>#REF!</v>
      </c>
    </row>
    <row r="47" spans="1:14" ht="12" hidden="1">
      <c r="A47" s="33" t="s">
        <v>33</v>
      </c>
      <c r="B47" s="34" t="s">
        <v>346</v>
      </c>
      <c r="C47" s="39">
        <v>9250250</v>
      </c>
      <c r="D47" s="39">
        <v>6786900</v>
      </c>
      <c r="E47" s="154">
        <v>9800000</v>
      </c>
      <c r="F47" s="152">
        <f t="shared" si="4"/>
        <v>10192000</v>
      </c>
      <c r="G47" s="152">
        <f t="shared" si="18"/>
        <v>10446800</v>
      </c>
      <c r="H47" s="154" t="e">
        <f>+G47*#REF!</f>
        <v>#REF!</v>
      </c>
      <c r="I47" s="154" t="e">
        <f>+H47*#REF!</f>
        <v>#REF!</v>
      </c>
      <c r="J47" s="154" t="e">
        <f>+I47*#REF!</f>
        <v>#REF!</v>
      </c>
      <c r="K47" s="154" t="e">
        <f>+J47*#REF!</f>
        <v>#REF!</v>
      </c>
      <c r="L47" s="154" t="e">
        <f>+K47*#REF!</f>
        <v>#REF!</v>
      </c>
      <c r="M47" s="154" t="e">
        <f>+L47*#REF!</f>
        <v>#REF!</v>
      </c>
      <c r="N47" s="154" t="e">
        <f>+M47*#REF!</f>
        <v>#REF!</v>
      </c>
    </row>
    <row r="48" spans="1:14" s="32" customFormat="1" ht="12" hidden="1">
      <c r="A48" s="24" t="s">
        <v>34</v>
      </c>
      <c r="B48" s="29" t="s">
        <v>347</v>
      </c>
      <c r="C48" s="26" t="s">
        <v>305</v>
      </c>
      <c r="D48" s="30">
        <f>+D49+D59</f>
        <v>2245934</v>
      </c>
      <c r="E48" s="152">
        <f>+E49+E59</f>
        <v>4806315370</v>
      </c>
      <c r="F48" s="152">
        <f t="shared" si="4"/>
        <v>4998567984.8</v>
      </c>
      <c r="G48" s="152">
        <f t="shared" si="18"/>
        <v>5123532184.42</v>
      </c>
      <c r="H48" s="152" t="e">
        <f aca="true" t="shared" si="21" ref="H48:N48">+H49+H59</f>
        <v>#REF!</v>
      </c>
      <c r="I48" s="152" t="e">
        <f t="shared" si="21"/>
        <v>#REF!</v>
      </c>
      <c r="J48" s="152" t="e">
        <f t="shared" si="21"/>
        <v>#REF!</v>
      </c>
      <c r="K48" s="152" t="e">
        <f t="shared" si="21"/>
        <v>#REF!</v>
      </c>
      <c r="L48" s="152" t="e">
        <f t="shared" si="21"/>
        <v>#REF!</v>
      </c>
      <c r="M48" s="152" t="e">
        <f t="shared" si="21"/>
        <v>#REF!</v>
      </c>
      <c r="N48" s="152" t="e">
        <f t="shared" si="21"/>
        <v>#REF!</v>
      </c>
    </row>
    <row r="49" spans="1:14" ht="12" hidden="1">
      <c r="A49" s="33" t="s">
        <v>35</v>
      </c>
      <c r="B49" s="34" t="s">
        <v>348</v>
      </c>
      <c r="C49" s="35" t="s">
        <v>305</v>
      </c>
      <c r="D49" s="41">
        <f>+D50+D53+D57</f>
        <v>2245934</v>
      </c>
      <c r="E49" s="153">
        <f>+E50+E53+E57</f>
        <v>852888042</v>
      </c>
      <c r="F49" s="152">
        <f t="shared" si="4"/>
        <v>887003563.6800001</v>
      </c>
      <c r="G49" s="152">
        <f t="shared" si="18"/>
        <v>909178652.772</v>
      </c>
      <c r="H49" s="153" t="e">
        <f aca="true" t="shared" si="22" ref="H49:N49">+H50+H53+H57</f>
        <v>#REF!</v>
      </c>
      <c r="I49" s="153" t="e">
        <f t="shared" si="22"/>
        <v>#REF!</v>
      </c>
      <c r="J49" s="153" t="e">
        <f t="shared" si="22"/>
        <v>#REF!</v>
      </c>
      <c r="K49" s="153" t="e">
        <f t="shared" si="22"/>
        <v>#REF!</v>
      </c>
      <c r="L49" s="153" t="e">
        <f t="shared" si="22"/>
        <v>#REF!</v>
      </c>
      <c r="M49" s="153" t="e">
        <f t="shared" si="22"/>
        <v>#REF!</v>
      </c>
      <c r="N49" s="153" t="e">
        <f t="shared" si="22"/>
        <v>#REF!</v>
      </c>
    </row>
    <row r="50" spans="1:14" ht="12" hidden="1">
      <c r="A50" s="33" t="s">
        <v>36</v>
      </c>
      <c r="B50" s="34" t="s">
        <v>349</v>
      </c>
      <c r="C50" s="35">
        <f>SUM(C51:C52)</f>
        <v>0</v>
      </c>
      <c r="D50" s="41">
        <f>+D51+D52</f>
        <v>0</v>
      </c>
      <c r="E50" s="153">
        <f>+E51+E52</f>
        <v>851285042</v>
      </c>
      <c r="F50" s="152">
        <f t="shared" si="4"/>
        <v>885336443.6800001</v>
      </c>
      <c r="G50" s="152">
        <f t="shared" si="18"/>
        <v>907469854.772</v>
      </c>
      <c r="H50" s="153" t="e">
        <f aca="true" t="shared" si="23" ref="H50:N50">+H51+H52</f>
        <v>#REF!</v>
      </c>
      <c r="I50" s="153" t="e">
        <f t="shared" si="23"/>
        <v>#REF!</v>
      </c>
      <c r="J50" s="153" t="e">
        <f t="shared" si="23"/>
        <v>#REF!</v>
      </c>
      <c r="K50" s="153" t="e">
        <f t="shared" si="23"/>
        <v>#REF!</v>
      </c>
      <c r="L50" s="153" t="e">
        <f t="shared" si="23"/>
        <v>#REF!</v>
      </c>
      <c r="M50" s="153" t="e">
        <f t="shared" si="23"/>
        <v>#REF!</v>
      </c>
      <c r="N50" s="153" t="e">
        <f t="shared" si="23"/>
        <v>#REF!</v>
      </c>
    </row>
    <row r="51" spans="1:14" ht="36" hidden="1">
      <c r="A51" s="33" t="s">
        <v>37</v>
      </c>
      <c r="B51" s="34" t="s">
        <v>350</v>
      </c>
      <c r="C51" s="35" t="s">
        <v>305</v>
      </c>
      <c r="D51" s="41"/>
      <c r="E51" s="153">
        <v>851284042</v>
      </c>
      <c r="F51" s="152">
        <f t="shared" si="4"/>
        <v>885335403.6800001</v>
      </c>
      <c r="G51" s="152">
        <f t="shared" si="18"/>
        <v>907468788.772</v>
      </c>
      <c r="H51" s="154" t="e">
        <f>+G51*#REF!</f>
        <v>#REF!</v>
      </c>
      <c r="I51" s="154" t="e">
        <f>+H51*#REF!</f>
        <v>#REF!</v>
      </c>
      <c r="J51" s="154" t="e">
        <f>+I51*#REF!</f>
        <v>#REF!</v>
      </c>
      <c r="K51" s="154" t="e">
        <f>+J51*#REF!</f>
        <v>#REF!</v>
      </c>
      <c r="L51" s="154" t="e">
        <f>+K51*#REF!</f>
        <v>#REF!</v>
      </c>
      <c r="M51" s="154" t="e">
        <f>+L51*#REF!</f>
        <v>#REF!</v>
      </c>
      <c r="N51" s="154" t="e">
        <f>+M51*#REF!</f>
        <v>#REF!</v>
      </c>
    </row>
    <row r="52" spans="1:14" ht="36" hidden="1">
      <c r="A52" s="33" t="s">
        <v>38</v>
      </c>
      <c r="B52" s="34" t="s">
        <v>351</v>
      </c>
      <c r="C52" s="35" t="s">
        <v>305</v>
      </c>
      <c r="D52" s="41"/>
      <c r="E52" s="153">
        <v>1000</v>
      </c>
      <c r="F52" s="152">
        <f t="shared" si="4"/>
        <v>1040</v>
      </c>
      <c r="G52" s="152">
        <f t="shared" si="18"/>
        <v>1066</v>
      </c>
      <c r="H52" s="154" t="e">
        <f>+G52*#REF!</f>
        <v>#REF!</v>
      </c>
      <c r="I52" s="154" t="e">
        <f>+H52*#REF!</f>
        <v>#REF!</v>
      </c>
      <c r="J52" s="154" t="e">
        <f>+I52*#REF!</f>
        <v>#REF!</v>
      </c>
      <c r="K52" s="154" t="e">
        <f>+J52*#REF!</f>
        <v>#REF!</v>
      </c>
      <c r="L52" s="154" t="e">
        <f>+K52*#REF!</f>
        <v>#REF!</v>
      </c>
      <c r="M52" s="154" t="e">
        <f>+L52*#REF!</f>
        <v>#REF!</v>
      </c>
      <c r="N52" s="154" t="e">
        <f>+M52*#REF!</f>
        <v>#REF!</v>
      </c>
    </row>
    <row r="53" spans="1:14" ht="12" hidden="1">
      <c r="A53" s="33" t="s">
        <v>39</v>
      </c>
      <c r="B53" s="34" t="s">
        <v>352</v>
      </c>
      <c r="C53" s="35">
        <f>SUM(C54:C56)</f>
        <v>939400</v>
      </c>
      <c r="D53" s="35">
        <f>SUM(D54:D56)</f>
        <v>2245934</v>
      </c>
      <c r="E53" s="153">
        <f>SUM(E54:E56)</f>
        <v>1602000</v>
      </c>
      <c r="F53" s="152">
        <f t="shared" si="4"/>
        <v>1666080</v>
      </c>
      <c r="G53" s="152">
        <f t="shared" si="18"/>
        <v>1707731.9999999998</v>
      </c>
      <c r="H53" s="153" t="e">
        <f aca="true" t="shared" si="24" ref="H53:N53">SUM(H54:H56)</f>
        <v>#REF!</v>
      </c>
      <c r="I53" s="153" t="e">
        <f t="shared" si="24"/>
        <v>#REF!</v>
      </c>
      <c r="J53" s="153" t="e">
        <f t="shared" si="24"/>
        <v>#REF!</v>
      </c>
      <c r="K53" s="153" t="e">
        <f t="shared" si="24"/>
        <v>#REF!</v>
      </c>
      <c r="L53" s="153" t="e">
        <f t="shared" si="24"/>
        <v>#REF!</v>
      </c>
      <c r="M53" s="153" t="e">
        <f t="shared" si="24"/>
        <v>#REF!</v>
      </c>
      <c r="N53" s="153" t="e">
        <f t="shared" si="24"/>
        <v>#REF!</v>
      </c>
    </row>
    <row r="54" spans="1:14" ht="24" hidden="1">
      <c r="A54" s="33" t="s">
        <v>40</v>
      </c>
      <c r="B54" s="34" t="s">
        <v>353</v>
      </c>
      <c r="C54" s="39">
        <v>937400</v>
      </c>
      <c r="D54" s="39">
        <v>2243934</v>
      </c>
      <c r="E54" s="153">
        <v>1600000</v>
      </c>
      <c r="F54" s="152">
        <f t="shared" si="4"/>
        <v>1664000</v>
      </c>
      <c r="G54" s="152">
        <f t="shared" si="18"/>
        <v>1705599.9999999998</v>
      </c>
      <c r="H54" s="154" t="e">
        <f>+G54*#REF!</f>
        <v>#REF!</v>
      </c>
      <c r="I54" s="154" t="e">
        <f>+H54*#REF!</f>
        <v>#REF!</v>
      </c>
      <c r="J54" s="154" t="e">
        <f>+I54*#REF!</f>
        <v>#REF!</v>
      </c>
      <c r="K54" s="154" t="e">
        <f>+J54*#REF!</f>
        <v>#REF!</v>
      </c>
      <c r="L54" s="154" t="e">
        <f>+K54*#REF!</f>
        <v>#REF!</v>
      </c>
      <c r="M54" s="154" t="e">
        <f>+L54*#REF!</f>
        <v>#REF!</v>
      </c>
      <c r="N54" s="154" t="e">
        <f>+M54*#REF!</f>
        <v>#REF!</v>
      </c>
    </row>
    <row r="55" spans="1:14" ht="24" hidden="1">
      <c r="A55" s="33" t="s">
        <v>41</v>
      </c>
      <c r="B55" s="34" t="s">
        <v>354</v>
      </c>
      <c r="C55" s="35">
        <v>1000</v>
      </c>
      <c r="D55" s="41">
        <v>1000</v>
      </c>
      <c r="E55" s="153">
        <v>1000</v>
      </c>
      <c r="F55" s="152">
        <f t="shared" si="4"/>
        <v>1040</v>
      </c>
      <c r="G55" s="152">
        <f t="shared" si="18"/>
        <v>1066</v>
      </c>
      <c r="H55" s="154" t="e">
        <f>+G55*#REF!</f>
        <v>#REF!</v>
      </c>
      <c r="I55" s="154" t="e">
        <f>+H55*#REF!</f>
        <v>#REF!</v>
      </c>
      <c r="J55" s="154" t="e">
        <f>+I55*#REF!</f>
        <v>#REF!</v>
      </c>
      <c r="K55" s="154" t="e">
        <f>+J55*#REF!</f>
        <v>#REF!</v>
      </c>
      <c r="L55" s="154" t="e">
        <f>+K55*#REF!</f>
        <v>#REF!</v>
      </c>
      <c r="M55" s="154" t="e">
        <f>+L55*#REF!</f>
        <v>#REF!</v>
      </c>
      <c r="N55" s="154" t="e">
        <f>+M55*#REF!</f>
        <v>#REF!</v>
      </c>
    </row>
    <row r="56" spans="1:14" ht="24" hidden="1">
      <c r="A56" s="33" t="s">
        <v>42</v>
      </c>
      <c r="B56" s="34" t="s">
        <v>355</v>
      </c>
      <c r="C56" s="35">
        <v>1000</v>
      </c>
      <c r="D56" s="35">
        <v>1000</v>
      </c>
      <c r="E56" s="153">
        <v>1000</v>
      </c>
      <c r="F56" s="152">
        <f t="shared" si="4"/>
        <v>1040</v>
      </c>
      <c r="G56" s="152">
        <f t="shared" si="18"/>
        <v>1066</v>
      </c>
      <c r="H56" s="154" t="e">
        <f>+G56*#REF!</f>
        <v>#REF!</v>
      </c>
      <c r="I56" s="154" t="e">
        <f>+H56*#REF!</f>
        <v>#REF!</v>
      </c>
      <c r="J56" s="154" t="e">
        <f>+I56*#REF!</f>
        <v>#REF!</v>
      </c>
      <c r="K56" s="154" t="e">
        <f>+J56*#REF!</f>
        <v>#REF!</v>
      </c>
      <c r="L56" s="154" t="e">
        <f>+K56*#REF!</f>
        <v>#REF!</v>
      </c>
      <c r="M56" s="154" t="e">
        <f>+L56*#REF!</f>
        <v>#REF!</v>
      </c>
      <c r="N56" s="154" t="e">
        <f>+M56*#REF!</f>
        <v>#REF!</v>
      </c>
    </row>
    <row r="57" spans="1:14" ht="24" hidden="1">
      <c r="A57" s="33" t="s">
        <v>254</v>
      </c>
      <c r="B57" s="34" t="s">
        <v>356</v>
      </c>
      <c r="C57" s="35">
        <f>+C58</f>
        <v>11446602.4</v>
      </c>
      <c r="D57" s="35">
        <f>+D58</f>
        <v>0</v>
      </c>
      <c r="E57" s="153">
        <f>+E58</f>
        <v>1000</v>
      </c>
      <c r="F57" s="152">
        <f t="shared" si="4"/>
        <v>1040</v>
      </c>
      <c r="G57" s="152">
        <f t="shared" si="18"/>
        <v>1066</v>
      </c>
      <c r="H57" s="153" t="e">
        <f aca="true" t="shared" si="25" ref="H57:N57">+H58</f>
        <v>#REF!</v>
      </c>
      <c r="I57" s="153" t="e">
        <f t="shared" si="25"/>
        <v>#REF!</v>
      </c>
      <c r="J57" s="153" t="e">
        <f t="shared" si="25"/>
        <v>#REF!</v>
      </c>
      <c r="K57" s="153" t="e">
        <f t="shared" si="25"/>
        <v>#REF!</v>
      </c>
      <c r="L57" s="153" t="e">
        <f t="shared" si="25"/>
        <v>#REF!</v>
      </c>
      <c r="M57" s="153" t="e">
        <f t="shared" si="25"/>
        <v>#REF!</v>
      </c>
      <c r="N57" s="153" t="e">
        <f t="shared" si="25"/>
        <v>#REF!</v>
      </c>
    </row>
    <row r="58" spans="1:14" ht="24" hidden="1">
      <c r="A58" s="33" t="s">
        <v>255</v>
      </c>
      <c r="B58" s="34" t="s">
        <v>357</v>
      </c>
      <c r="C58" s="39">
        <v>11446602.4</v>
      </c>
      <c r="D58" s="41"/>
      <c r="E58" s="153">
        <v>1000</v>
      </c>
      <c r="F58" s="152">
        <f t="shared" si="4"/>
        <v>1040</v>
      </c>
      <c r="G58" s="152">
        <f t="shared" si="18"/>
        <v>1066</v>
      </c>
      <c r="H58" s="154" t="e">
        <f>+G58*#REF!</f>
        <v>#REF!</v>
      </c>
      <c r="I58" s="154" t="e">
        <f>+H58*#REF!</f>
        <v>#REF!</v>
      </c>
      <c r="J58" s="154" t="e">
        <f>+I58*#REF!</f>
        <v>#REF!</v>
      </c>
      <c r="K58" s="154" t="e">
        <f>+J58*#REF!</f>
        <v>#REF!</v>
      </c>
      <c r="L58" s="154" t="e">
        <f>+K58*#REF!</f>
        <v>#REF!</v>
      </c>
      <c r="M58" s="154" t="e">
        <f>+L58*#REF!</f>
        <v>#REF!</v>
      </c>
      <c r="N58" s="154" t="e">
        <f>+M58*#REF!</f>
        <v>#REF!</v>
      </c>
    </row>
    <row r="59" spans="1:14" ht="12" hidden="1">
      <c r="A59" s="33" t="s">
        <v>256</v>
      </c>
      <c r="B59" s="34" t="s">
        <v>359</v>
      </c>
      <c r="C59" s="35" t="s">
        <v>305</v>
      </c>
      <c r="D59" s="41"/>
      <c r="E59" s="152">
        <f>+E60+E73+E74</f>
        <v>3953427328</v>
      </c>
      <c r="F59" s="152">
        <f t="shared" si="4"/>
        <v>4111564421.1200004</v>
      </c>
      <c r="G59" s="152">
        <f t="shared" si="18"/>
        <v>4214353531.6480002</v>
      </c>
      <c r="H59" s="152" t="e">
        <f aca="true" t="shared" si="26" ref="H59:N59">+H60+H73+H74</f>
        <v>#REF!</v>
      </c>
      <c r="I59" s="152" t="e">
        <f t="shared" si="26"/>
        <v>#REF!</v>
      </c>
      <c r="J59" s="152" t="e">
        <f t="shared" si="26"/>
        <v>#REF!</v>
      </c>
      <c r="K59" s="152" t="e">
        <f t="shared" si="26"/>
        <v>#REF!</v>
      </c>
      <c r="L59" s="152" t="e">
        <f t="shared" si="26"/>
        <v>#REF!</v>
      </c>
      <c r="M59" s="152" t="e">
        <f t="shared" si="26"/>
        <v>#REF!</v>
      </c>
      <c r="N59" s="152" t="e">
        <f t="shared" si="26"/>
        <v>#REF!</v>
      </c>
    </row>
    <row r="60" spans="1:14" ht="12" hidden="1">
      <c r="A60" s="33" t="s">
        <v>257</v>
      </c>
      <c r="B60" s="34" t="s">
        <v>349</v>
      </c>
      <c r="C60" s="35" t="s">
        <v>305</v>
      </c>
      <c r="D60" s="41"/>
      <c r="E60" s="152">
        <f>+E61+E64+E65+E70</f>
        <v>3817351328</v>
      </c>
      <c r="F60" s="152">
        <f t="shared" si="4"/>
        <v>3970045381.1200004</v>
      </c>
      <c r="G60" s="152">
        <f t="shared" si="18"/>
        <v>4069296515.6480002</v>
      </c>
      <c r="H60" s="152" t="e">
        <f aca="true" t="shared" si="27" ref="H60:N60">+H61+H64+H65+H70</f>
        <v>#REF!</v>
      </c>
      <c r="I60" s="152" t="e">
        <f t="shared" si="27"/>
        <v>#REF!</v>
      </c>
      <c r="J60" s="152" t="e">
        <f t="shared" si="27"/>
        <v>#REF!</v>
      </c>
      <c r="K60" s="152" t="e">
        <f t="shared" si="27"/>
        <v>#REF!</v>
      </c>
      <c r="L60" s="152" t="e">
        <f t="shared" si="27"/>
        <v>#REF!</v>
      </c>
      <c r="M60" s="152" t="e">
        <f t="shared" si="27"/>
        <v>#REF!</v>
      </c>
      <c r="N60" s="152" t="e">
        <f t="shared" si="27"/>
        <v>#REF!</v>
      </c>
    </row>
    <row r="61" spans="1:14" ht="24" hidden="1">
      <c r="A61" s="33" t="s">
        <v>258</v>
      </c>
      <c r="B61" s="34" t="s">
        <v>360</v>
      </c>
      <c r="C61" s="35" t="s">
        <v>305</v>
      </c>
      <c r="D61" s="41"/>
      <c r="E61" s="152">
        <f>SUM(E62:E63)</f>
        <v>1170253252</v>
      </c>
      <c r="F61" s="152">
        <f t="shared" si="4"/>
        <v>1217063382.08</v>
      </c>
      <c r="G61" s="152">
        <f t="shared" si="18"/>
        <v>1247489966.6319997</v>
      </c>
      <c r="H61" s="152" t="e">
        <f aca="true" t="shared" si="28" ref="H61:N61">SUM(H62:H63)</f>
        <v>#REF!</v>
      </c>
      <c r="I61" s="152" t="e">
        <f t="shared" si="28"/>
        <v>#REF!</v>
      </c>
      <c r="J61" s="152" t="e">
        <f t="shared" si="28"/>
        <v>#REF!</v>
      </c>
      <c r="K61" s="152" t="e">
        <f t="shared" si="28"/>
        <v>#REF!</v>
      </c>
      <c r="L61" s="152" t="e">
        <f t="shared" si="28"/>
        <v>#REF!</v>
      </c>
      <c r="M61" s="152" t="e">
        <f t="shared" si="28"/>
        <v>#REF!</v>
      </c>
      <c r="N61" s="152" t="e">
        <f t="shared" si="28"/>
        <v>#REF!</v>
      </c>
    </row>
    <row r="62" spans="1:14" ht="24" hidden="1">
      <c r="A62" s="33" t="s">
        <v>259</v>
      </c>
      <c r="B62" s="34" t="s">
        <v>361</v>
      </c>
      <c r="C62" s="35" t="s">
        <v>305</v>
      </c>
      <c r="D62" s="42"/>
      <c r="E62" s="154">
        <v>957823252</v>
      </c>
      <c r="F62" s="152">
        <f t="shared" si="4"/>
        <v>996136182.08</v>
      </c>
      <c r="G62" s="152">
        <f t="shared" si="18"/>
        <v>1021039586.632</v>
      </c>
      <c r="H62" s="154" t="e">
        <f>+G62*#REF!</f>
        <v>#REF!</v>
      </c>
      <c r="I62" s="154" t="e">
        <f>+H62*#REF!</f>
        <v>#REF!</v>
      </c>
      <c r="J62" s="154" t="e">
        <f>+I62*#REF!</f>
        <v>#REF!</v>
      </c>
      <c r="K62" s="154" t="e">
        <f>+J62*#REF!</f>
        <v>#REF!</v>
      </c>
      <c r="L62" s="154" t="e">
        <f>+K62*#REF!</f>
        <v>#REF!</v>
      </c>
      <c r="M62" s="154" t="e">
        <f>+L62*#REF!</f>
        <v>#REF!</v>
      </c>
      <c r="N62" s="154" t="e">
        <f>+M62*#REF!</f>
        <v>#REF!</v>
      </c>
    </row>
    <row r="63" spans="1:14" ht="24" hidden="1">
      <c r="A63" s="33" t="s">
        <v>292</v>
      </c>
      <c r="B63" s="34" t="s">
        <v>293</v>
      </c>
      <c r="C63" s="35" t="s">
        <v>305</v>
      </c>
      <c r="D63" s="42"/>
      <c r="E63" s="154">
        <v>212430000</v>
      </c>
      <c r="F63" s="152">
        <f t="shared" si="4"/>
        <v>220927200</v>
      </c>
      <c r="G63" s="152">
        <f t="shared" si="18"/>
        <v>226450379.99999997</v>
      </c>
      <c r="H63" s="154" t="e">
        <f>+G63*#REF!</f>
        <v>#REF!</v>
      </c>
      <c r="I63" s="154" t="e">
        <f>+H63*#REF!</f>
        <v>#REF!</v>
      </c>
      <c r="J63" s="154" t="e">
        <f>+I63*#REF!</f>
        <v>#REF!</v>
      </c>
      <c r="K63" s="154" t="e">
        <f>+J63*#REF!</f>
        <v>#REF!</v>
      </c>
      <c r="L63" s="154" t="e">
        <f>+K63*#REF!</f>
        <v>#REF!</v>
      </c>
      <c r="M63" s="154" t="e">
        <f>+L63*#REF!</f>
        <v>#REF!</v>
      </c>
      <c r="N63" s="154" t="e">
        <f>+M63*#REF!</f>
        <v>#REF!</v>
      </c>
    </row>
    <row r="64" spans="1:14" ht="24" hidden="1">
      <c r="A64" s="33" t="s">
        <v>260</v>
      </c>
      <c r="B64" s="34" t="s">
        <v>363</v>
      </c>
      <c r="C64" s="35" t="s">
        <v>305</v>
      </c>
      <c r="D64" s="41"/>
      <c r="E64" s="153">
        <v>209519902</v>
      </c>
      <c r="F64" s="152">
        <f t="shared" si="4"/>
        <v>217900698.08</v>
      </c>
      <c r="G64" s="152">
        <f t="shared" si="18"/>
        <v>223348215.532</v>
      </c>
      <c r="H64" s="154" t="e">
        <f>+G64*#REF!</f>
        <v>#REF!</v>
      </c>
      <c r="I64" s="154" t="e">
        <f>+H64*#REF!</f>
        <v>#REF!</v>
      </c>
      <c r="J64" s="154" t="e">
        <f>+I64*#REF!</f>
        <v>#REF!</v>
      </c>
      <c r="K64" s="154" t="e">
        <f>+J64*#REF!</f>
        <v>#REF!</v>
      </c>
      <c r="L64" s="154" t="e">
        <f>+K64*#REF!</f>
        <v>#REF!</v>
      </c>
      <c r="M64" s="154" t="e">
        <f>+L64*#REF!</f>
        <v>#REF!</v>
      </c>
      <c r="N64" s="154" t="e">
        <f>+M64*#REF!</f>
        <v>#REF!</v>
      </c>
    </row>
    <row r="65" spans="1:14" ht="24" hidden="1">
      <c r="A65" s="33" t="s">
        <v>261</v>
      </c>
      <c r="B65" s="34" t="s">
        <v>364</v>
      </c>
      <c r="C65" s="35" t="s">
        <v>305</v>
      </c>
      <c r="D65" s="41"/>
      <c r="E65" s="152">
        <f>SUM(E66:E69)</f>
        <v>1105185103</v>
      </c>
      <c r="F65" s="152">
        <f t="shared" si="4"/>
        <v>1149392507.1200001</v>
      </c>
      <c r="G65" s="152">
        <f t="shared" si="18"/>
        <v>1178127319.798</v>
      </c>
      <c r="H65" s="152" t="e">
        <f aca="true" t="shared" si="29" ref="H65:N65">SUM(H66:H69)</f>
        <v>#REF!</v>
      </c>
      <c r="I65" s="152" t="e">
        <f t="shared" si="29"/>
        <v>#REF!</v>
      </c>
      <c r="J65" s="152" t="e">
        <f t="shared" si="29"/>
        <v>#REF!</v>
      </c>
      <c r="K65" s="152" t="e">
        <f t="shared" si="29"/>
        <v>#REF!</v>
      </c>
      <c r="L65" s="152" t="e">
        <f t="shared" si="29"/>
        <v>#REF!</v>
      </c>
      <c r="M65" s="152" t="e">
        <f t="shared" si="29"/>
        <v>#REF!</v>
      </c>
      <c r="N65" s="152" t="e">
        <f t="shared" si="29"/>
        <v>#REF!</v>
      </c>
    </row>
    <row r="66" spans="1:14" ht="24" hidden="1">
      <c r="A66" s="33" t="s">
        <v>294</v>
      </c>
      <c r="B66" s="43" t="s">
        <v>298</v>
      </c>
      <c r="C66" s="35"/>
      <c r="D66" s="41"/>
      <c r="E66" s="154">
        <v>97439342</v>
      </c>
      <c r="F66" s="152">
        <f t="shared" si="4"/>
        <v>101336915.68</v>
      </c>
      <c r="G66" s="152">
        <f t="shared" si="18"/>
        <v>103870338.572</v>
      </c>
      <c r="H66" s="154" t="e">
        <f>+G66*#REF!</f>
        <v>#REF!</v>
      </c>
      <c r="I66" s="154" t="e">
        <f>+H66*#REF!</f>
        <v>#REF!</v>
      </c>
      <c r="J66" s="154" t="e">
        <f>+I66*#REF!</f>
        <v>#REF!</v>
      </c>
      <c r="K66" s="154" t="e">
        <f>+J66*#REF!</f>
        <v>#REF!</v>
      </c>
      <c r="L66" s="154" t="e">
        <f>+K66*#REF!</f>
        <v>#REF!</v>
      </c>
      <c r="M66" s="154" t="e">
        <f>+L66*#REF!</f>
        <v>#REF!</v>
      </c>
      <c r="N66" s="154" t="e">
        <f>+M66*#REF!</f>
        <v>#REF!</v>
      </c>
    </row>
    <row r="67" spans="1:14" ht="24" hidden="1">
      <c r="A67" s="33" t="s">
        <v>295</v>
      </c>
      <c r="B67" s="43" t="s">
        <v>299</v>
      </c>
      <c r="C67" s="35"/>
      <c r="D67" s="41"/>
      <c r="E67" s="154">
        <v>73079508</v>
      </c>
      <c r="F67" s="152">
        <f t="shared" si="4"/>
        <v>76002688.32000001</v>
      </c>
      <c r="G67" s="152">
        <f t="shared" si="18"/>
        <v>77902755.528</v>
      </c>
      <c r="H67" s="154" t="e">
        <f>+G67*#REF!</f>
        <v>#REF!</v>
      </c>
      <c r="I67" s="154" t="e">
        <f>+H67*#REF!</f>
        <v>#REF!</v>
      </c>
      <c r="J67" s="154" t="e">
        <f>+I67*#REF!</f>
        <v>#REF!</v>
      </c>
      <c r="K67" s="154" t="e">
        <f>+J67*#REF!</f>
        <v>#REF!</v>
      </c>
      <c r="L67" s="154" t="e">
        <f>+K67*#REF!</f>
        <v>#REF!</v>
      </c>
      <c r="M67" s="154" t="e">
        <f>+L67*#REF!</f>
        <v>#REF!</v>
      </c>
      <c r="N67" s="154" t="e">
        <f>+M67*#REF!</f>
        <v>#REF!</v>
      </c>
    </row>
    <row r="68" spans="1:14" ht="24" hidden="1">
      <c r="A68" s="33" t="s">
        <v>296</v>
      </c>
      <c r="B68" s="43" t="s">
        <v>300</v>
      </c>
      <c r="C68" s="35"/>
      <c r="D68" s="41"/>
      <c r="E68" s="154">
        <v>822500958</v>
      </c>
      <c r="F68" s="152">
        <f t="shared" si="4"/>
        <v>855400996.32</v>
      </c>
      <c r="G68" s="152">
        <f t="shared" si="18"/>
        <v>876786021.2279999</v>
      </c>
      <c r="H68" s="154" t="e">
        <f>+G68*#REF!</f>
        <v>#REF!</v>
      </c>
      <c r="I68" s="154" t="e">
        <f>+H68*#REF!</f>
        <v>#REF!</v>
      </c>
      <c r="J68" s="154" t="e">
        <f>+I68*#REF!</f>
        <v>#REF!</v>
      </c>
      <c r="K68" s="154" t="e">
        <f>+J68*#REF!</f>
        <v>#REF!</v>
      </c>
      <c r="L68" s="154" t="e">
        <f>+K68*#REF!</f>
        <v>#REF!</v>
      </c>
      <c r="M68" s="154" t="e">
        <f>+L68*#REF!</f>
        <v>#REF!</v>
      </c>
      <c r="N68" s="154" t="e">
        <f>+M68*#REF!</f>
        <v>#REF!</v>
      </c>
    </row>
    <row r="69" spans="1:14" ht="24" hidden="1">
      <c r="A69" s="33" t="s">
        <v>297</v>
      </c>
      <c r="B69" s="43" t="s">
        <v>301</v>
      </c>
      <c r="C69" s="35"/>
      <c r="D69" s="41"/>
      <c r="E69" s="154">
        <v>112165295</v>
      </c>
      <c r="F69" s="152">
        <f t="shared" si="4"/>
        <v>116651906.8</v>
      </c>
      <c r="G69" s="152">
        <f t="shared" si="18"/>
        <v>119568204.46999998</v>
      </c>
      <c r="H69" s="154" t="e">
        <f>+G69*#REF!</f>
        <v>#REF!</v>
      </c>
      <c r="I69" s="154" t="e">
        <f>+H69*#REF!</f>
        <v>#REF!</v>
      </c>
      <c r="J69" s="154" t="e">
        <f>+I69*#REF!</f>
        <v>#REF!</v>
      </c>
      <c r="K69" s="154" t="e">
        <f>+J69*#REF!</f>
        <v>#REF!</v>
      </c>
      <c r="L69" s="154" t="e">
        <f>+K69*#REF!</f>
        <v>#REF!</v>
      </c>
      <c r="M69" s="154" t="e">
        <f>+L69*#REF!</f>
        <v>#REF!</v>
      </c>
      <c r="N69" s="154" t="e">
        <f>+M69*#REF!</f>
        <v>#REF!</v>
      </c>
    </row>
    <row r="70" spans="1:14" ht="36" hidden="1">
      <c r="A70" s="33" t="s">
        <v>262</v>
      </c>
      <c r="B70" s="34" t="s">
        <v>365</v>
      </c>
      <c r="C70" s="35" t="s">
        <v>305</v>
      </c>
      <c r="D70" s="41"/>
      <c r="E70" s="154">
        <f>+E71+E72</f>
        <v>1332393071</v>
      </c>
      <c r="F70" s="152">
        <f t="shared" si="4"/>
        <v>1385688793.8400002</v>
      </c>
      <c r="G70" s="152">
        <f t="shared" si="18"/>
        <v>1420331013.686</v>
      </c>
      <c r="H70" s="154" t="e">
        <f aca="true" t="shared" si="30" ref="H70:N70">+H71+H72</f>
        <v>#REF!</v>
      </c>
      <c r="I70" s="154" t="e">
        <f t="shared" si="30"/>
        <v>#REF!</v>
      </c>
      <c r="J70" s="154" t="e">
        <f t="shared" si="30"/>
        <v>#REF!</v>
      </c>
      <c r="K70" s="154" t="e">
        <f t="shared" si="30"/>
        <v>#REF!</v>
      </c>
      <c r="L70" s="154" t="e">
        <f t="shared" si="30"/>
        <v>#REF!</v>
      </c>
      <c r="M70" s="154" t="e">
        <f t="shared" si="30"/>
        <v>#REF!</v>
      </c>
      <c r="N70" s="154" t="e">
        <f t="shared" si="30"/>
        <v>#REF!</v>
      </c>
    </row>
    <row r="71" spans="1:14" ht="24" hidden="1">
      <c r="A71" s="33" t="s">
        <v>629</v>
      </c>
      <c r="B71" s="34" t="s">
        <v>630</v>
      </c>
      <c r="C71" s="35"/>
      <c r="D71" s="41"/>
      <c r="E71" s="154">
        <v>866055496</v>
      </c>
      <c r="F71" s="152">
        <f aca="true" t="shared" si="31" ref="F71:F115">+E71*1.04</f>
        <v>900697715.84</v>
      </c>
      <c r="G71" s="152">
        <f t="shared" si="18"/>
        <v>923215158.736</v>
      </c>
      <c r="H71" s="154" t="e">
        <f>+G71*#REF!</f>
        <v>#REF!</v>
      </c>
      <c r="I71" s="154" t="e">
        <f>+H71*#REF!</f>
        <v>#REF!</v>
      </c>
      <c r="J71" s="154" t="e">
        <f>+I71*#REF!</f>
        <v>#REF!</v>
      </c>
      <c r="K71" s="154" t="e">
        <f>+J71*#REF!</f>
        <v>#REF!</v>
      </c>
      <c r="L71" s="154" t="e">
        <f>+K71*#REF!</f>
        <v>#REF!</v>
      </c>
      <c r="M71" s="154" t="e">
        <f>+L71*#REF!</f>
        <v>#REF!</v>
      </c>
      <c r="N71" s="154" t="e">
        <f>+M71*#REF!</f>
        <v>#REF!</v>
      </c>
    </row>
    <row r="72" spans="1:14" ht="24" hidden="1">
      <c r="A72" s="33" t="s">
        <v>631</v>
      </c>
      <c r="B72" s="34" t="s">
        <v>632</v>
      </c>
      <c r="C72" s="35"/>
      <c r="D72" s="41"/>
      <c r="E72" s="154">
        <v>466337575</v>
      </c>
      <c r="F72" s="152">
        <f t="shared" si="31"/>
        <v>484991078</v>
      </c>
      <c r="G72" s="152">
        <f t="shared" si="18"/>
        <v>497115854.9499999</v>
      </c>
      <c r="H72" s="154" t="e">
        <f>+G72*#REF!</f>
        <v>#REF!</v>
      </c>
      <c r="I72" s="154" t="e">
        <f>+H72*#REF!</f>
        <v>#REF!</v>
      </c>
      <c r="J72" s="154" t="e">
        <f>+I72*#REF!</f>
        <v>#REF!</v>
      </c>
      <c r="K72" s="154" t="e">
        <f>+J72*#REF!</f>
        <v>#REF!</v>
      </c>
      <c r="L72" s="154" t="e">
        <f>+K72*#REF!</f>
        <v>#REF!</v>
      </c>
      <c r="M72" s="154" t="e">
        <f>+L72*#REF!</f>
        <v>#REF!</v>
      </c>
      <c r="N72" s="154" t="e">
        <f>+M72*#REF!</f>
        <v>#REF!</v>
      </c>
    </row>
    <row r="73" spans="1:14" ht="12" hidden="1">
      <c r="A73" s="33" t="s">
        <v>263</v>
      </c>
      <c r="B73" s="34" t="s">
        <v>352</v>
      </c>
      <c r="C73" s="39">
        <v>1000</v>
      </c>
      <c r="D73" s="41"/>
      <c r="E73" s="153">
        <v>1000</v>
      </c>
      <c r="F73" s="152">
        <f t="shared" si="31"/>
        <v>1040</v>
      </c>
      <c r="G73" s="152">
        <f t="shared" si="18"/>
        <v>1066</v>
      </c>
      <c r="H73" s="154" t="e">
        <f>+G73*#REF!</f>
        <v>#REF!</v>
      </c>
      <c r="I73" s="154" t="e">
        <f>+H73*#REF!</f>
        <v>#REF!</v>
      </c>
      <c r="J73" s="154" t="e">
        <f>+I73*#REF!</f>
        <v>#REF!</v>
      </c>
      <c r="K73" s="154" t="e">
        <f>+J73*#REF!</f>
        <v>#REF!</v>
      </c>
      <c r="L73" s="154" t="e">
        <f>+K73*#REF!</f>
        <v>#REF!</v>
      </c>
      <c r="M73" s="154" t="e">
        <f>+L73*#REF!</f>
        <v>#REF!</v>
      </c>
      <c r="N73" s="154" t="e">
        <f>+M73*#REF!</f>
        <v>#REF!</v>
      </c>
    </row>
    <row r="74" spans="1:14" ht="24" hidden="1">
      <c r="A74" s="33" t="s">
        <v>264</v>
      </c>
      <c r="B74" s="34" t="s">
        <v>367</v>
      </c>
      <c r="C74" s="39">
        <f>+C75</f>
        <v>103019431.7</v>
      </c>
      <c r="D74" s="39">
        <f>+D75</f>
        <v>169130324</v>
      </c>
      <c r="E74" s="153">
        <f>+E75</f>
        <v>136075000</v>
      </c>
      <c r="F74" s="152">
        <f t="shared" si="31"/>
        <v>141518000</v>
      </c>
      <c r="G74" s="152">
        <f aca="true" t="shared" si="32" ref="G74:G105">+F74*1.025</f>
        <v>145055950</v>
      </c>
      <c r="H74" s="153" t="e">
        <f aca="true" t="shared" si="33" ref="H74:N74">+H75</f>
        <v>#REF!</v>
      </c>
      <c r="I74" s="153" t="e">
        <f t="shared" si="33"/>
        <v>#REF!</v>
      </c>
      <c r="J74" s="153" t="e">
        <f t="shared" si="33"/>
        <v>#REF!</v>
      </c>
      <c r="K74" s="153" t="e">
        <f t="shared" si="33"/>
        <v>#REF!</v>
      </c>
      <c r="L74" s="153" t="e">
        <f t="shared" si="33"/>
        <v>#REF!</v>
      </c>
      <c r="M74" s="153" t="e">
        <f t="shared" si="33"/>
        <v>#REF!</v>
      </c>
      <c r="N74" s="153" t="e">
        <f t="shared" si="33"/>
        <v>#REF!</v>
      </c>
    </row>
    <row r="75" spans="1:14" ht="24" hidden="1">
      <c r="A75" s="33" t="s">
        <v>265</v>
      </c>
      <c r="B75" s="34" t="s">
        <v>357</v>
      </c>
      <c r="C75" s="39">
        <v>103019431.7</v>
      </c>
      <c r="D75" s="39">
        <v>169130324</v>
      </c>
      <c r="E75" s="153">
        <v>136075000</v>
      </c>
      <c r="F75" s="152">
        <f t="shared" si="31"/>
        <v>141518000</v>
      </c>
      <c r="G75" s="152">
        <f t="shared" si="32"/>
        <v>145055950</v>
      </c>
      <c r="H75" s="154" t="e">
        <f>+G75*#REF!</f>
        <v>#REF!</v>
      </c>
      <c r="I75" s="154" t="e">
        <f>+H75*#REF!</f>
        <v>#REF!</v>
      </c>
      <c r="J75" s="154" t="e">
        <f>+I75*#REF!</f>
        <v>#REF!</v>
      </c>
      <c r="K75" s="154" t="e">
        <f>+J75*#REF!</f>
        <v>#REF!</v>
      </c>
      <c r="L75" s="154" t="e">
        <f>+K75*#REF!</f>
        <v>#REF!</v>
      </c>
      <c r="M75" s="154" t="e">
        <f>+L75*#REF!</f>
        <v>#REF!</v>
      </c>
      <c r="N75" s="154" t="e">
        <f>+M75*#REF!</f>
        <v>#REF!</v>
      </c>
    </row>
    <row r="76" spans="1:14" ht="12" hidden="1">
      <c r="A76" s="33" t="s">
        <v>266</v>
      </c>
      <c r="B76" s="34" t="s">
        <v>368</v>
      </c>
      <c r="C76" s="35" t="s">
        <v>305</v>
      </c>
      <c r="D76" s="41"/>
      <c r="E76" s="153">
        <f>+E77</f>
        <v>23470000</v>
      </c>
      <c r="F76" s="152">
        <f t="shared" si="31"/>
        <v>24408800</v>
      </c>
      <c r="G76" s="152">
        <f t="shared" si="32"/>
        <v>25019019.999999996</v>
      </c>
      <c r="H76" s="153" t="e">
        <f aca="true" t="shared" si="34" ref="H76:N76">+H77</f>
        <v>#REF!</v>
      </c>
      <c r="I76" s="153" t="e">
        <f t="shared" si="34"/>
        <v>#REF!</v>
      </c>
      <c r="J76" s="153" t="e">
        <f t="shared" si="34"/>
        <v>#REF!</v>
      </c>
      <c r="K76" s="153" t="e">
        <f t="shared" si="34"/>
        <v>#REF!</v>
      </c>
      <c r="L76" s="153" t="e">
        <f t="shared" si="34"/>
        <v>#REF!</v>
      </c>
      <c r="M76" s="153" t="e">
        <f t="shared" si="34"/>
        <v>#REF!</v>
      </c>
      <c r="N76" s="153" t="e">
        <f t="shared" si="34"/>
        <v>#REF!</v>
      </c>
    </row>
    <row r="77" spans="1:14" ht="12" hidden="1">
      <c r="A77" s="33" t="s">
        <v>464</v>
      </c>
      <c r="B77" s="34" t="s">
        <v>358</v>
      </c>
      <c r="C77" s="35">
        <f>+C78+C79</f>
        <v>21992390</v>
      </c>
      <c r="D77" s="35">
        <f>+D78+D79</f>
        <v>17126000</v>
      </c>
      <c r="E77" s="153">
        <f>+E78+E79</f>
        <v>23470000</v>
      </c>
      <c r="F77" s="152">
        <f t="shared" si="31"/>
        <v>24408800</v>
      </c>
      <c r="G77" s="152">
        <f t="shared" si="32"/>
        <v>25019019.999999996</v>
      </c>
      <c r="H77" s="153" t="e">
        <f aca="true" t="shared" si="35" ref="H77:N77">+H78+H79</f>
        <v>#REF!</v>
      </c>
      <c r="I77" s="153" t="e">
        <f t="shared" si="35"/>
        <v>#REF!</v>
      </c>
      <c r="J77" s="153" t="e">
        <f t="shared" si="35"/>
        <v>#REF!</v>
      </c>
      <c r="K77" s="153" t="e">
        <f t="shared" si="35"/>
        <v>#REF!</v>
      </c>
      <c r="L77" s="153" t="e">
        <f t="shared" si="35"/>
        <v>#REF!</v>
      </c>
      <c r="M77" s="153" t="e">
        <f t="shared" si="35"/>
        <v>#REF!</v>
      </c>
      <c r="N77" s="153" t="e">
        <f t="shared" si="35"/>
        <v>#REF!</v>
      </c>
    </row>
    <row r="78" spans="1:14" ht="24" hidden="1">
      <c r="A78" s="33" t="s">
        <v>465</v>
      </c>
      <c r="B78" s="43" t="s">
        <v>466</v>
      </c>
      <c r="C78" s="39">
        <v>7938000</v>
      </c>
      <c r="D78" s="39">
        <v>7411000</v>
      </c>
      <c r="E78" s="153">
        <v>9209000</v>
      </c>
      <c r="F78" s="152">
        <f t="shared" si="31"/>
        <v>9577360</v>
      </c>
      <c r="G78" s="152">
        <f t="shared" si="32"/>
        <v>9816794</v>
      </c>
      <c r="H78" s="154" t="e">
        <f>+G78*#REF!</f>
        <v>#REF!</v>
      </c>
      <c r="I78" s="154" t="e">
        <f>+H78*#REF!</f>
        <v>#REF!</v>
      </c>
      <c r="J78" s="154" t="e">
        <f>+I78*#REF!</f>
        <v>#REF!</v>
      </c>
      <c r="K78" s="154" t="e">
        <f>+J78*#REF!</f>
        <v>#REF!</v>
      </c>
      <c r="L78" s="154" t="e">
        <f>+K78*#REF!</f>
        <v>#REF!</v>
      </c>
      <c r="M78" s="154" t="e">
        <f>+L78*#REF!</f>
        <v>#REF!</v>
      </c>
      <c r="N78" s="154" t="e">
        <f>+M78*#REF!</f>
        <v>#REF!</v>
      </c>
    </row>
    <row r="79" spans="1:14" ht="12" hidden="1">
      <c r="A79" s="33" t="s">
        <v>467</v>
      </c>
      <c r="B79" s="43" t="s">
        <v>468</v>
      </c>
      <c r="C79" s="39">
        <v>14054390</v>
      </c>
      <c r="D79" s="39">
        <v>9715000</v>
      </c>
      <c r="E79" s="153">
        <v>14261000</v>
      </c>
      <c r="F79" s="152">
        <f t="shared" si="31"/>
        <v>14831440</v>
      </c>
      <c r="G79" s="152">
        <f t="shared" si="32"/>
        <v>15202225.999999998</v>
      </c>
      <c r="H79" s="154" t="e">
        <f>+G79*#REF!</f>
        <v>#REF!</v>
      </c>
      <c r="I79" s="154" t="e">
        <f>+H79*#REF!</f>
        <v>#REF!</v>
      </c>
      <c r="J79" s="154" t="e">
        <f>+I79*#REF!</f>
        <v>#REF!</v>
      </c>
      <c r="K79" s="154" t="e">
        <f>+J79*#REF!</f>
        <v>#REF!</v>
      </c>
      <c r="L79" s="154" t="e">
        <f>+K79*#REF!</f>
        <v>#REF!</v>
      </c>
      <c r="M79" s="154" t="e">
        <f>+L79*#REF!</f>
        <v>#REF!</v>
      </c>
      <c r="N79" s="154" t="e">
        <f>+M79*#REF!</f>
        <v>#REF!</v>
      </c>
    </row>
    <row r="80" spans="1:14" s="32" customFormat="1" ht="12">
      <c r="A80" s="24" t="s">
        <v>267</v>
      </c>
      <c r="B80" s="29" t="s">
        <v>370</v>
      </c>
      <c r="C80" s="26" t="s">
        <v>291</v>
      </c>
      <c r="D80" s="30"/>
      <c r="E80" s="152">
        <v>47004000</v>
      </c>
      <c r="F80" s="152">
        <v>0</v>
      </c>
      <c r="G80" s="152">
        <f t="shared" si="32"/>
        <v>0</v>
      </c>
      <c r="H80" s="152">
        <f aca="true" t="shared" si="36" ref="H80:N80">+G80*1.025</f>
        <v>0</v>
      </c>
      <c r="I80" s="152">
        <f t="shared" si="36"/>
        <v>0</v>
      </c>
      <c r="J80" s="152">
        <f t="shared" si="36"/>
        <v>0</v>
      </c>
      <c r="K80" s="152">
        <f t="shared" si="36"/>
        <v>0</v>
      </c>
      <c r="L80" s="152">
        <f t="shared" si="36"/>
        <v>0</v>
      </c>
      <c r="M80" s="152">
        <f t="shared" si="36"/>
        <v>0</v>
      </c>
      <c r="N80" s="152">
        <f t="shared" si="36"/>
        <v>0</v>
      </c>
    </row>
    <row r="81" spans="1:14" s="32" customFormat="1" ht="12" hidden="1">
      <c r="A81" s="24" t="s">
        <v>268</v>
      </c>
      <c r="B81" s="29" t="s">
        <v>371</v>
      </c>
      <c r="C81" s="26" t="s">
        <v>291</v>
      </c>
      <c r="D81" s="30"/>
      <c r="E81" s="152">
        <f>+E82+E83</f>
        <v>2000</v>
      </c>
      <c r="F81" s="152">
        <f t="shared" si="31"/>
        <v>2080</v>
      </c>
      <c r="G81" s="152">
        <f t="shared" si="32"/>
        <v>2132</v>
      </c>
      <c r="H81" s="152" t="e">
        <f aca="true" t="shared" si="37" ref="H81:N81">+H82+H83</f>
        <v>#REF!</v>
      </c>
      <c r="I81" s="152" t="e">
        <f t="shared" si="37"/>
        <v>#REF!</v>
      </c>
      <c r="J81" s="152" t="e">
        <f t="shared" si="37"/>
        <v>#REF!</v>
      </c>
      <c r="K81" s="152" t="e">
        <f t="shared" si="37"/>
        <v>#REF!</v>
      </c>
      <c r="L81" s="152" t="e">
        <f t="shared" si="37"/>
        <v>#REF!</v>
      </c>
      <c r="M81" s="152" t="e">
        <f t="shared" si="37"/>
        <v>#REF!</v>
      </c>
      <c r="N81" s="152" t="e">
        <f t="shared" si="37"/>
        <v>#REF!</v>
      </c>
    </row>
    <row r="82" spans="1:14" ht="12" hidden="1">
      <c r="A82" s="33" t="s">
        <v>269</v>
      </c>
      <c r="B82" s="34" t="s">
        <v>372</v>
      </c>
      <c r="C82" s="35">
        <v>1000</v>
      </c>
      <c r="D82" s="41"/>
      <c r="E82" s="153">
        <v>1000</v>
      </c>
      <c r="F82" s="152">
        <f t="shared" si="31"/>
        <v>1040</v>
      </c>
      <c r="G82" s="152">
        <f t="shared" si="32"/>
        <v>1066</v>
      </c>
      <c r="H82" s="154" t="e">
        <f>+G82*#REF!</f>
        <v>#REF!</v>
      </c>
      <c r="I82" s="154" t="e">
        <f>+H82*#REF!</f>
        <v>#REF!</v>
      </c>
      <c r="J82" s="154" t="e">
        <f>+I82*#REF!</f>
        <v>#REF!</v>
      </c>
      <c r="K82" s="154" t="e">
        <f>+J82*#REF!</f>
        <v>#REF!</v>
      </c>
      <c r="L82" s="154" t="e">
        <f>+K82*#REF!</f>
        <v>#REF!</v>
      </c>
      <c r="M82" s="154" t="e">
        <f>+L82*#REF!</f>
        <v>#REF!</v>
      </c>
      <c r="N82" s="154" t="e">
        <f>+M82*#REF!</f>
        <v>#REF!</v>
      </c>
    </row>
    <row r="83" spans="1:14" ht="12" hidden="1">
      <c r="A83" s="33" t="s">
        <v>270</v>
      </c>
      <c r="B83" s="34" t="s">
        <v>374</v>
      </c>
      <c r="C83" s="35">
        <v>1000</v>
      </c>
      <c r="D83" s="41"/>
      <c r="E83" s="153">
        <v>1000</v>
      </c>
      <c r="F83" s="152">
        <f t="shared" si="31"/>
        <v>1040</v>
      </c>
      <c r="G83" s="152">
        <f t="shared" si="32"/>
        <v>1066</v>
      </c>
      <c r="H83" s="154" t="e">
        <f>+G83*#REF!</f>
        <v>#REF!</v>
      </c>
      <c r="I83" s="154" t="e">
        <f>+H83*#REF!</f>
        <v>#REF!</v>
      </c>
      <c r="J83" s="154" t="e">
        <f>+I83*#REF!</f>
        <v>#REF!</v>
      </c>
      <c r="K83" s="154" t="e">
        <f>+J83*#REF!</f>
        <v>#REF!</v>
      </c>
      <c r="L83" s="154" t="e">
        <f>+K83*#REF!</f>
        <v>#REF!</v>
      </c>
      <c r="M83" s="154" t="e">
        <f>+L83*#REF!</f>
        <v>#REF!</v>
      </c>
      <c r="N83" s="154" t="e">
        <f>+M83*#REF!</f>
        <v>#REF!</v>
      </c>
    </row>
    <row r="84" spans="1:14" s="32" customFormat="1" ht="12" hidden="1">
      <c r="A84" s="24" t="s">
        <v>271</v>
      </c>
      <c r="B84" s="29" t="s">
        <v>43</v>
      </c>
      <c r="C84" s="44">
        <v>15431156</v>
      </c>
      <c r="D84" s="30"/>
      <c r="E84" s="152">
        <v>6500000</v>
      </c>
      <c r="F84" s="152">
        <f t="shared" si="31"/>
        <v>6760000</v>
      </c>
      <c r="G84" s="152">
        <f t="shared" si="32"/>
        <v>6928999.999999999</v>
      </c>
      <c r="H84" s="154" t="e">
        <f>+G84*#REF!</f>
        <v>#REF!</v>
      </c>
      <c r="I84" s="154" t="e">
        <f>+H84*#REF!</f>
        <v>#REF!</v>
      </c>
      <c r="J84" s="154" t="e">
        <f>+I84*#REF!</f>
        <v>#REF!</v>
      </c>
      <c r="K84" s="154" t="e">
        <f>+J84*#REF!</f>
        <v>#REF!</v>
      </c>
      <c r="L84" s="154" t="e">
        <f>+K84*#REF!</f>
        <v>#REF!</v>
      </c>
      <c r="M84" s="154" t="e">
        <f>+L84*#REF!</f>
        <v>#REF!</v>
      </c>
      <c r="N84" s="154" t="e">
        <f>+M84*#REF!</f>
        <v>#REF!</v>
      </c>
    </row>
    <row r="85" spans="1:14" s="32" customFormat="1" ht="12" hidden="1">
      <c r="A85" s="24" t="s">
        <v>272</v>
      </c>
      <c r="B85" s="29" t="s">
        <v>375</v>
      </c>
      <c r="C85" s="26" t="s">
        <v>305</v>
      </c>
      <c r="D85" s="30"/>
      <c r="E85" s="152">
        <f>+E86+E90+E93</f>
        <v>7000</v>
      </c>
      <c r="F85" s="152">
        <f t="shared" si="31"/>
        <v>7280</v>
      </c>
      <c r="G85" s="152">
        <f t="shared" si="32"/>
        <v>7461.999999999999</v>
      </c>
      <c r="H85" s="152" t="e">
        <f aca="true" t="shared" si="38" ref="H85:N85">+H86+H90+H93</f>
        <v>#REF!</v>
      </c>
      <c r="I85" s="152" t="e">
        <f t="shared" si="38"/>
        <v>#REF!</v>
      </c>
      <c r="J85" s="152" t="e">
        <f t="shared" si="38"/>
        <v>#REF!</v>
      </c>
      <c r="K85" s="152" t="e">
        <f t="shared" si="38"/>
        <v>#REF!</v>
      </c>
      <c r="L85" s="152" t="e">
        <f t="shared" si="38"/>
        <v>#REF!</v>
      </c>
      <c r="M85" s="152" t="e">
        <f t="shared" si="38"/>
        <v>#REF!</v>
      </c>
      <c r="N85" s="152" t="e">
        <f t="shared" si="38"/>
        <v>#REF!</v>
      </c>
    </row>
    <row r="86" spans="1:14" ht="12" hidden="1">
      <c r="A86" s="33" t="s">
        <v>273</v>
      </c>
      <c r="B86" s="34" t="s">
        <v>376</v>
      </c>
      <c r="C86" s="26">
        <f>SUM(C87:C89)</f>
        <v>3000</v>
      </c>
      <c r="D86" s="26">
        <f>SUM(D87:D89)</f>
        <v>0</v>
      </c>
      <c r="E86" s="152">
        <f>SUM(E87:E89)</f>
        <v>3000</v>
      </c>
      <c r="F86" s="152">
        <f t="shared" si="31"/>
        <v>3120</v>
      </c>
      <c r="G86" s="152">
        <f t="shared" si="32"/>
        <v>3197.9999999999995</v>
      </c>
      <c r="H86" s="152" t="e">
        <f aca="true" t="shared" si="39" ref="H86:N86">SUM(H87:H89)</f>
        <v>#REF!</v>
      </c>
      <c r="I86" s="152" t="e">
        <f t="shared" si="39"/>
        <v>#REF!</v>
      </c>
      <c r="J86" s="152" t="e">
        <f t="shared" si="39"/>
        <v>#REF!</v>
      </c>
      <c r="K86" s="152" t="e">
        <f t="shared" si="39"/>
        <v>#REF!</v>
      </c>
      <c r="L86" s="152" t="e">
        <f t="shared" si="39"/>
        <v>#REF!</v>
      </c>
      <c r="M86" s="152" t="e">
        <f t="shared" si="39"/>
        <v>#REF!</v>
      </c>
      <c r="N86" s="152" t="e">
        <f t="shared" si="39"/>
        <v>#REF!</v>
      </c>
    </row>
    <row r="87" spans="1:14" ht="12" hidden="1">
      <c r="A87" s="33" t="s">
        <v>274</v>
      </c>
      <c r="B87" s="34" t="s">
        <v>377</v>
      </c>
      <c r="C87" s="35">
        <v>1000</v>
      </c>
      <c r="D87" s="41"/>
      <c r="E87" s="153">
        <v>1000</v>
      </c>
      <c r="F87" s="152">
        <f t="shared" si="31"/>
        <v>1040</v>
      </c>
      <c r="G87" s="152">
        <f t="shared" si="32"/>
        <v>1066</v>
      </c>
      <c r="H87" s="154" t="e">
        <f>+G87*#REF!</f>
        <v>#REF!</v>
      </c>
      <c r="I87" s="154" t="e">
        <f>+H87*#REF!</f>
        <v>#REF!</v>
      </c>
      <c r="J87" s="154" t="e">
        <f>+I87*#REF!</f>
        <v>#REF!</v>
      </c>
      <c r="K87" s="154" t="e">
        <f>+J87*#REF!</f>
        <v>#REF!</v>
      </c>
      <c r="L87" s="154" t="e">
        <f>+K87*#REF!</f>
        <v>#REF!</v>
      </c>
      <c r="M87" s="154" t="e">
        <f>+L87*#REF!</f>
        <v>#REF!</v>
      </c>
      <c r="N87" s="154" t="e">
        <f>+M87*#REF!</f>
        <v>#REF!</v>
      </c>
    </row>
    <row r="88" spans="1:14" ht="12" hidden="1">
      <c r="A88" s="33" t="s">
        <v>275</v>
      </c>
      <c r="B88" s="34" t="s">
        <v>378</v>
      </c>
      <c r="C88" s="35">
        <v>1000</v>
      </c>
      <c r="D88" s="41"/>
      <c r="E88" s="153">
        <v>1000</v>
      </c>
      <c r="F88" s="152">
        <f t="shared" si="31"/>
        <v>1040</v>
      </c>
      <c r="G88" s="152">
        <f t="shared" si="32"/>
        <v>1066</v>
      </c>
      <c r="H88" s="154" t="e">
        <f>+G88*#REF!</f>
        <v>#REF!</v>
      </c>
      <c r="I88" s="154" t="e">
        <f>+H88*#REF!</f>
        <v>#REF!</v>
      </c>
      <c r="J88" s="154" t="e">
        <f>+I88*#REF!</f>
        <v>#REF!</v>
      </c>
      <c r="K88" s="154" t="e">
        <f>+J88*#REF!</f>
        <v>#REF!</v>
      </c>
      <c r="L88" s="154" t="e">
        <f>+K88*#REF!</f>
        <v>#REF!</v>
      </c>
      <c r="M88" s="154" t="e">
        <f>+L88*#REF!</f>
        <v>#REF!</v>
      </c>
      <c r="N88" s="154" t="e">
        <f>+M88*#REF!</f>
        <v>#REF!</v>
      </c>
    </row>
    <row r="89" spans="1:14" ht="12" hidden="1">
      <c r="A89" s="33" t="s">
        <v>276</v>
      </c>
      <c r="B89" s="34" t="s">
        <v>379</v>
      </c>
      <c r="C89" s="35">
        <v>1000</v>
      </c>
      <c r="D89" s="41"/>
      <c r="E89" s="153">
        <v>1000</v>
      </c>
      <c r="F89" s="152">
        <f t="shared" si="31"/>
        <v>1040</v>
      </c>
      <c r="G89" s="152">
        <f t="shared" si="32"/>
        <v>1066</v>
      </c>
      <c r="H89" s="154" t="e">
        <f>+G89*#REF!</f>
        <v>#REF!</v>
      </c>
      <c r="I89" s="154" t="e">
        <f>+H89*#REF!</f>
        <v>#REF!</v>
      </c>
      <c r="J89" s="154" t="e">
        <f>+I89*#REF!</f>
        <v>#REF!</v>
      </c>
      <c r="K89" s="154" t="e">
        <f>+J89*#REF!</f>
        <v>#REF!</v>
      </c>
      <c r="L89" s="154" t="e">
        <f>+K89*#REF!</f>
        <v>#REF!</v>
      </c>
      <c r="M89" s="154" t="e">
        <f>+L89*#REF!</f>
        <v>#REF!</v>
      </c>
      <c r="N89" s="154" t="e">
        <f>+M89*#REF!</f>
        <v>#REF!</v>
      </c>
    </row>
    <row r="90" spans="1:14" ht="12" hidden="1">
      <c r="A90" s="33" t="s">
        <v>277</v>
      </c>
      <c r="B90" s="34" t="s">
        <v>380</v>
      </c>
      <c r="C90" s="26">
        <f>+C91+C92</f>
        <v>2000</v>
      </c>
      <c r="D90" s="26">
        <f>+D91+D92</f>
        <v>0</v>
      </c>
      <c r="E90" s="152">
        <f>+E91+E92</f>
        <v>2000</v>
      </c>
      <c r="F90" s="152">
        <f t="shared" si="31"/>
        <v>2080</v>
      </c>
      <c r="G90" s="152">
        <f t="shared" si="32"/>
        <v>2132</v>
      </c>
      <c r="H90" s="152" t="e">
        <f aca="true" t="shared" si="40" ref="H90:N90">+H91+H92</f>
        <v>#REF!</v>
      </c>
      <c r="I90" s="152" t="e">
        <f t="shared" si="40"/>
        <v>#REF!</v>
      </c>
      <c r="J90" s="152" t="e">
        <f t="shared" si="40"/>
        <v>#REF!</v>
      </c>
      <c r="K90" s="152" t="e">
        <f t="shared" si="40"/>
        <v>#REF!</v>
      </c>
      <c r="L90" s="152" t="e">
        <f t="shared" si="40"/>
        <v>#REF!</v>
      </c>
      <c r="M90" s="152" t="e">
        <f t="shared" si="40"/>
        <v>#REF!</v>
      </c>
      <c r="N90" s="152" t="e">
        <f t="shared" si="40"/>
        <v>#REF!</v>
      </c>
    </row>
    <row r="91" spans="1:14" ht="12" hidden="1">
      <c r="A91" s="33" t="s">
        <v>278</v>
      </c>
      <c r="B91" s="34" t="s">
        <v>381</v>
      </c>
      <c r="C91" s="35">
        <v>1000</v>
      </c>
      <c r="D91" s="41"/>
      <c r="E91" s="153">
        <v>1000</v>
      </c>
      <c r="F91" s="152">
        <f t="shared" si="31"/>
        <v>1040</v>
      </c>
      <c r="G91" s="152">
        <f t="shared" si="32"/>
        <v>1066</v>
      </c>
      <c r="H91" s="154" t="e">
        <f>+G91*#REF!</f>
        <v>#REF!</v>
      </c>
      <c r="I91" s="154" t="e">
        <f>+H91*#REF!</f>
        <v>#REF!</v>
      </c>
      <c r="J91" s="154" t="e">
        <f>+I91*#REF!</f>
        <v>#REF!</v>
      </c>
      <c r="K91" s="154" t="e">
        <f>+J91*#REF!</f>
        <v>#REF!</v>
      </c>
      <c r="L91" s="154" t="e">
        <f>+K91*#REF!</f>
        <v>#REF!</v>
      </c>
      <c r="M91" s="154" t="e">
        <f>+L91*#REF!</f>
        <v>#REF!</v>
      </c>
      <c r="N91" s="154" t="e">
        <f>+M91*#REF!</f>
        <v>#REF!</v>
      </c>
    </row>
    <row r="92" spans="1:14" ht="24" hidden="1">
      <c r="A92" s="33" t="s">
        <v>279</v>
      </c>
      <c r="B92" s="34" t="s">
        <v>384</v>
      </c>
      <c r="C92" s="35">
        <v>1000</v>
      </c>
      <c r="D92" s="41"/>
      <c r="E92" s="153">
        <v>1000</v>
      </c>
      <c r="F92" s="152">
        <f t="shared" si="31"/>
        <v>1040</v>
      </c>
      <c r="G92" s="152">
        <f t="shared" si="32"/>
        <v>1066</v>
      </c>
      <c r="H92" s="154" t="e">
        <f>+G92*#REF!</f>
        <v>#REF!</v>
      </c>
      <c r="I92" s="154" t="e">
        <f>+H92*#REF!</f>
        <v>#REF!</v>
      </c>
      <c r="J92" s="154" t="e">
        <f>+I92*#REF!</f>
        <v>#REF!</v>
      </c>
      <c r="K92" s="154" t="e">
        <f>+J92*#REF!</f>
        <v>#REF!</v>
      </c>
      <c r="L92" s="154" t="e">
        <f>+K92*#REF!</f>
        <v>#REF!</v>
      </c>
      <c r="M92" s="154" t="e">
        <f>+L92*#REF!</f>
        <v>#REF!</v>
      </c>
      <c r="N92" s="154" t="e">
        <f>+M92*#REF!</f>
        <v>#REF!</v>
      </c>
    </row>
    <row r="93" spans="1:14" ht="24" hidden="1">
      <c r="A93" s="33" t="s">
        <v>280</v>
      </c>
      <c r="B93" s="34" t="s">
        <v>385</v>
      </c>
      <c r="C93" s="26">
        <f>+C94+C95</f>
        <v>2000</v>
      </c>
      <c r="D93" s="26">
        <f>+D94+D95</f>
        <v>0</v>
      </c>
      <c r="E93" s="152">
        <f>+E94+E95</f>
        <v>2000</v>
      </c>
      <c r="F93" s="152">
        <f t="shared" si="31"/>
        <v>2080</v>
      </c>
      <c r="G93" s="152">
        <f t="shared" si="32"/>
        <v>2132</v>
      </c>
      <c r="H93" s="152" t="e">
        <f aca="true" t="shared" si="41" ref="H93:N93">+H94+H95</f>
        <v>#REF!</v>
      </c>
      <c r="I93" s="152" t="e">
        <f t="shared" si="41"/>
        <v>#REF!</v>
      </c>
      <c r="J93" s="152" t="e">
        <f t="shared" si="41"/>
        <v>#REF!</v>
      </c>
      <c r="K93" s="152" t="e">
        <f t="shared" si="41"/>
        <v>#REF!</v>
      </c>
      <c r="L93" s="152" t="e">
        <f t="shared" si="41"/>
        <v>#REF!</v>
      </c>
      <c r="M93" s="152" t="e">
        <f t="shared" si="41"/>
        <v>#REF!</v>
      </c>
      <c r="N93" s="152" t="e">
        <f t="shared" si="41"/>
        <v>#REF!</v>
      </c>
    </row>
    <row r="94" spans="1:14" ht="12" hidden="1">
      <c r="A94" s="33" t="s">
        <v>281</v>
      </c>
      <c r="B94" s="34" t="s">
        <v>382</v>
      </c>
      <c r="C94" s="35">
        <v>1000</v>
      </c>
      <c r="D94" s="41"/>
      <c r="E94" s="153">
        <v>1000</v>
      </c>
      <c r="F94" s="152">
        <f t="shared" si="31"/>
        <v>1040</v>
      </c>
      <c r="G94" s="152">
        <f t="shared" si="32"/>
        <v>1066</v>
      </c>
      <c r="H94" s="154" t="e">
        <f>+G94*#REF!</f>
        <v>#REF!</v>
      </c>
      <c r="I94" s="154" t="e">
        <f>+H94*#REF!</f>
        <v>#REF!</v>
      </c>
      <c r="J94" s="154" t="e">
        <f>+I94*#REF!</f>
        <v>#REF!</v>
      </c>
      <c r="K94" s="154" t="e">
        <f>+J94*#REF!</f>
        <v>#REF!</v>
      </c>
      <c r="L94" s="154" t="e">
        <f>+K94*#REF!</f>
        <v>#REF!</v>
      </c>
      <c r="M94" s="154" t="e">
        <f>+L94*#REF!</f>
        <v>#REF!</v>
      </c>
      <c r="N94" s="154" t="e">
        <f>+M94*#REF!</f>
        <v>#REF!</v>
      </c>
    </row>
    <row r="95" spans="1:14" ht="24" hidden="1">
      <c r="A95" s="33" t="s">
        <v>282</v>
      </c>
      <c r="B95" s="34" t="s">
        <v>383</v>
      </c>
      <c r="C95" s="35">
        <v>1000</v>
      </c>
      <c r="D95" s="41"/>
      <c r="E95" s="153">
        <v>1000</v>
      </c>
      <c r="F95" s="152">
        <f t="shared" si="31"/>
        <v>1040</v>
      </c>
      <c r="G95" s="152">
        <f t="shared" si="32"/>
        <v>1066</v>
      </c>
      <c r="H95" s="154" t="e">
        <f>+G95*#REF!</f>
        <v>#REF!</v>
      </c>
      <c r="I95" s="154" t="e">
        <f>+H95*#REF!</f>
        <v>#REF!</v>
      </c>
      <c r="J95" s="154" t="e">
        <f>+I95*#REF!</f>
        <v>#REF!</v>
      </c>
      <c r="K95" s="154" t="e">
        <f>+J95*#REF!</f>
        <v>#REF!</v>
      </c>
      <c r="L95" s="154" t="e">
        <f>+K95*#REF!</f>
        <v>#REF!</v>
      </c>
      <c r="M95" s="154" t="e">
        <f>+L95*#REF!</f>
        <v>#REF!</v>
      </c>
      <c r="N95" s="154" t="e">
        <f>+M95*#REF!</f>
        <v>#REF!</v>
      </c>
    </row>
    <row r="96" spans="1:14" s="32" customFormat="1" ht="12" hidden="1">
      <c r="A96" s="24" t="s">
        <v>283</v>
      </c>
      <c r="B96" s="29" t="s">
        <v>386</v>
      </c>
      <c r="C96" s="26">
        <f>+C97+C98</f>
        <v>2000</v>
      </c>
      <c r="D96" s="26">
        <f>+D97+D98</f>
        <v>0</v>
      </c>
      <c r="E96" s="152">
        <f>SUM(E97:E98)</f>
        <v>2000</v>
      </c>
      <c r="F96" s="152">
        <f t="shared" si="31"/>
        <v>2080</v>
      </c>
      <c r="G96" s="152">
        <f t="shared" si="32"/>
        <v>2132</v>
      </c>
      <c r="H96" s="152" t="e">
        <f aca="true" t="shared" si="42" ref="H96:N96">SUM(H97:H98)</f>
        <v>#REF!</v>
      </c>
      <c r="I96" s="152" t="e">
        <f t="shared" si="42"/>
        <v>#REF!</v>
      </c>
      <c r="J96" s="152" t="e">
        <f t="shared" si="42"/>
        <v>#REF!</v>
      </c>
      <c r="K96" s="152" t="e">
        <f t="shared" si="42"/>
        <v>#REF!</v>
      </c>
      <c r="L96" s="152" t="e">
        <f t="shared" si="42"/>
        <v>#REF!</v>
      </c>
      <c r="M96" s="152" t="e">
        <f t="shared" si="42"/>
        <v>#REF!</v>
      </c>
      <c r="N96" s="152" t="e">
        <f t="shared" si="42"/>
        <v>#REF!</v>
      </c>
    </row>
    <row r="97" spans="1:14" ht="12" hidden="1">
      <c r="A97" s="33" t="s">
        <v>284</v>
      </c>
      <c r="B97" s="34" t="s">
        <v>387</v>
      </c>
      <c r="C97" s="35">
        <v>1000</v>
      </c>
      <c r="D97" s="41"/>
      <c r="E97" s="153">
        <v>1000</v>
      </c>
      <c r="F97" s="152">
        <f t="shared" si="31"/>
        <v>1040</v>
      </c>
      <c r="G97" s="152">
        <f t="shared" si="32"/>
        <v>1066</v>
      </c>
      <c r="H97" s="154" t="e">
        <f>+G97*#REF!</f>
        <v>#REF!</v>
      </c>
      <c r="I97" s="154" t="e">
        <f>+H97*#REF!</f>
        <v>#REF!</v>
      </c>
      <c r="J97" s="154" t="e">
        <f>+I97*#REF!</f>
        <v>#REF!</v>
      </c>
      <c r="K97" s="154" t="e">
        <f>+J97*#REF!</f>
        <v>#REF!</v>
      </c>
      <c r="L97" s="154" t="e">
        <f>+K97*#REF!</f>
        <v>#REF!</v>
      </c>
      <c r="M97" s="154" t="e">
        <f>+L97*#REF!</f>
        <v>#REF!</v>
      </c>
      <c r="N97" s="154" t="e">
        <f>+M97*#REF!</f>
        <v>#REF!</v>
      </c>
    </row>
    <row r="98" spans="1:14" ht="12" hidden="1">
      <c r="A98" s="33" t="s">
        <v>285</v>
      </c>
      <c r="B98" s="34" t="s">
        <v>388</v>
      </c>
      <c r="C98" s="35">
        <v>1000</v>
      </c>
      <c r="D98" s="41"/>
      <c r="E98" s="153">
        <v>1000</v>
      </c>
      <c r="F98" s="152">
        <f t="shared" si="31"/>
        <v>1040</v>
      </c>
      <c r="G98" s="152">
        <f t="shared" si="32"/>
        <v>1066</v>
      </c>
      <c r="H98" s="154" t="e">
        <f>+G98*#REF!</f>
        <v>#REF!</v>
      </c>
      <c r="I98" s="154" t="e">
        <f>+H98*#REF!</f>
        <v>#REF!</v>
      </c>
      <c r="J98" s="154" t="e">
        <f>+I98*#REF!</f>
        <v>#REF!</v>
      </c>
      <c r="K98" s="154" t="e">
        <f>+J98*#REF!</f>
        <v>#REF!</v>
      </c>
      <c r="L98" s="154" t="e">
        <f>+K98*#REF!</f>
        <v>#REF!</v>
      </c>
      <c r="M98" s="154" t="e">
        <f>+L98*#REF!</f>
        <v>#REF!</v>
      </c>
      <c r="N98" s="154" t="e">
        <f>+M98*#REF!</f>
        <v>#REF!</v>
      </c>
    </row>
    <row r="99" spans="1:14" s="32" customFormat="1" ht="12" hidden="1">
      <c r="A99" s="24" t="s">
        <v>286</v>
      </c>
      <c r="B99" s="29" t="s">
        <v>389</v>
      </c>
      <c r="C99" s="26" t="s">
        <v>305</v>
      </c>
      <c r="D99" s="30"/>
      <c r="E99" s="152">
        <f>+E100+E101</f>
        <v>2000</v>
      </c>
      <c r="F99" s="152">
        <f t="shared" si="31"/>
        <v>2080</v>
      </c>
      <c r="G99" s="152">
        <f t="shared" si="32"/>
        <v>2132</v>
      </c>
      <c r="H99" s="152" t="e">
        <f aca="true" t="shared" si="43" ref="H99:N99">+H100+H101</f>
        <v>#REF!</v>
      </c>
      <c r="I99" s="152" t="e">
        <f t="shared" si="43"/>
        <v>#REF!</v>
      </c>
      <c r="J99" s="152" t="e">
        <f t="shared" si="43"/>
        <v>#REF!</v>
      </c>
      <c r="K99" s="152" t="e">
        <f t="shared" si="43"/>
        <v>#REF!</v>
      </c>
      <c r="L99" s="152" t="e">
        <f t="shared" si="43"/>
        <v>#REF!</v>
      </c>
      <c r="M99" s="152" t="e">
        <f t="shared" si="43"/>
        <v>#REF!</v>
      </c>
      <c r="N99" s="152" t="e">
        <f t="shared" si="43"/>
        <v>#REF!</v>
      </c>
    </row>
    <row r="100" spans="1:14" ht="24" hidden="1">
      <c r="A100" s="33" t="s">
        <v>287</v>
      </c>
      <c r="B100" s="34" t="s">
        <v>390</v>
      </c>
      <c r="C100" s="35">
        <v>1000</v>
      </c>
      <c r="D100" s="41"/>
      <c r="E100" s="153">
        <v>1000</v>
      </c>
      <c r="F100" s="152">
        <f t="shared" si="31"/>
        <v>1040</v>
      </c>
      <c r="G100" s="152">
        <f t="shared" si="32"/>
        <v>1066</v>
      </c>
      <c r="H100" s="154" t="e">
        <f>+G100*#REF!</f>
        <v>#REF!</v>
      </c>
      <c r="I100" s="154" t="e">
        <f>+H100*#REF!</f>
        <v>#REF!</v>
      </c>
      <c r="J100" s="154" t="e">
        <f>+I100*#REF!</f>
        <v>#REF!</v>
      </c>
      <c r="K100" s="154" t="e">
        <f>+J100*#REF!</f>
        <v>#REF!</v>
      </c>
      <c r="L100" s="154" t="e">
        <f>+K100*#REF!</f>
        <v>#REF!</v>
      </c>
      <c r="M100" s="154" t="e">
        <f>+L100*#REF!</f>
        <v>#REF!</v>
      </c>
      <c r="N100" s="154" t="e">
        <f>+M100*#REF!</f>
        <v>#REF!</v>
      </c>
    </row>
    <row r="101" spans="1:14" ht="24" hidden="1">
      <c r="A101" s="33" t="s">
        <v>288</v>
      </c>
      <c r="B101" s="34" t="s">
        <v>391</v>
      </c>
      <c r="C101" s="35" t="str">
        <f>+C102</f>
        <v>X</v>
      </c>
      <c r="D101" s="41"/>
      <c r="E101" s="153">
        <f>+E102</f>
        <v>1000</v>
      </c>
      <c r="F101" s="152">
        <f t="shared" si="31"/>
        <v>1040</v>
      </c>
      <c r="G101" s="152">
        <f t="shared" si="32"/>
        <v>1066</v>
      </c>
      <c r="H101" s="153" t="e">
        <f aca="true" t="shared" si="44" ref="H101:N102">+H102</f>
        <v>#REF!</v>
      </c>
      <c r="I101" s="153" t="e">
        <f t="shared" si="44"/>
        <v>#REF!</v>
      </c>
      <c r="J101" s="153" t="e">
        <f t="shared" si="44"/>
        <v>#REF!</v>
      </c>
      <c r="K101" s="153" t="e">
        <f t="shared" si="44"/>
        <v>#REF!</v>
      </c>
      <c r="L101" s="153" t="e">
        <f t="shared" si="44"/>
        <v>#REF!</v>
      </c>
      <c r="M101" s="153" t="e">
        <f t="shared" si="44"/>
        <v>#REF!</v>
      </c>
      <c r="N101" s="153" t="e">
        <f t="shared" si="44"/>
        <v>#REF!</v>
      </c>
    </row>
    <row r="102" spans="1:14" ht="24" hidden="1">
      <c r="A102" s="33" t="s">
        <v>289</v>
      </c>
      <c r="B102" s="34" t="s">
        <v>392</v>
      </c>
      <c r="C102" s="35" t="s">
        <v>305</v>
      </c>
      <c r="D102" s="41"/>
      <c r="E102" s="153">
        <f>+E103</f>
        <v>1000</v>
      </c>
      <c r="F102" s="152">
        <f t="shared" si="31"/>
        <v>1040</v>
      </c>
      <c r="G102" s="152">
        <f t="shared" si="32"/>
        <v>1066</v>
      </c>
      <c r="H102" s="153" t="e">
        <f t="shared" si="44"/>
        <v>#REF!</v>
      </c>
      <c r="I102" s="153" t="e">
        <f t="shared" si="44"/>
        <v>#REF!</v>
      </c>
      <c r="J102" s="153" t="e">
        <f t="shared" si="44"/>
        <v>#REF!</v>
      </c>
      <c r="K102" s="153" t="e">
        <f t="shared" si="44"/>
        <v>#REF!</v>
      </c>
      <c r="L102" s="153" t="e">
        <f t="shared" si="44"/>
        <v>#REF!</v>
      </c>
      <c r="M102" s="153" t="e">
        <f t="shared" si="44"/>
        <v>#REF!</v>
      </c>
      <c r="N102" s="153" t="e">
        <f t="shared" si="44"/>
        <v>#REF!</v>
      </c>
    </row>
    <row r="103" spans="1:14" ht="24" hidden="1">
      <c r="A103" s="33" t="s">
        <v>290</v>
      </c>
      <c r="B103" s="34" t="s">
        <v>393</v>
      </c>
      <c r="C103" s="35" t="s">
        <v>305</v>
      </c>
      <c r="D103" s="41"/>
      <c r="E103" s="153">
        <v>1000</v>
      </c>
      <c r="F103" s="152">
        <f t="shared" si="31"/>
        <v>1040</v>
      </c>
      <c r="G103" s="152">
        <f t="shared" si="32"/>
        <v>1066</v>
      </c>
      <c r="H103" s="154" t="e">
        <f>+G103*#REF!</f>
        <v>#REF!</v>
      </c>
      <c r="I103" s="154" t="e">
        <f>+H103*#REF!</f>
        <v>#REF!</v>
      </c>
      <c r="J103" s="154" t="e">
        <f>+I103*#REF!</f>
        <v>#REF!</v>
      </c>
      <c r="K103" s="154" t="e">
        <f>+J103*#REF!</f>
        <v>#REF!</v>
      </c>
      <c r="L103" s="154" t="e">
        <f>+K103*#REF!</f>
        <v>#REF!</v>
      </c>
      <c r="M103" s="154" t="e">
        <f>+L103*#REF!</f>
        <v>#REF!</v>
      </c>
      <c r="N103" s="154" t="e">
        <f>+M103*#REF!</f>
        <v>#REF!</v>
      </c>
    </row>
    <row r="104" spans="2:14" ht="12" hidden="1">
      <c r="B104" s="46"/>
      <c r="F104" s="152">
        <f t="shared" si="31"/>
        <v>0</v>
      </c>
      <c r="G104" s="152">
        <f t="shared" si="32"/>
        <v>0</v>
      </c>
      <c r="H104" s="155"/>
      <c r="I104" s="155"/>
      <c r="J104" s="155"/>
      <c r="K104" s="155"/>
      <c r="L104" s="155"/>
      <c r="M104" s="155"/>
      <c r="N104" s="155"/>
    </row>
    <row r="105" spans="2:14" ht="12" hidden="1">
      <c r="B105" s="49" t="s">
        <v>96</v>
      </c>
      <c r="E105" s="156">
        <f>+E10+E17+E20+E23+E25+E37+E39+E46+E49+E57+E100+E76</f>
        <v>1417062042</v>
      </c>
      <c r="F105" s="152">
        <f t="shared" si="31"/>
        <v>1473744523.68</v>
      </c>
      <c r="G105" s="152">
        <f t="shared" si="32"/>
        <v>1510588136.7719998</v>
      </c>
      <c r="H105" s="156" t="e">
        <f aca="true" t="shared" si="45" ref="H105:N105">+H10+H17+H20+H23+H25+H37+H39+H46+H49+H57+H100+H76</f>
        <v>#REF!</v>
      </c>
      <c r="I105" s="156" t="e">
        <f t="shared" si="45"/>
        <v>#REF!</v>
      </c>
      <c r="J105" s="156" t="e">
        <f t="shared" si="45"/>
        <v>#REF!</v>
      </c>
      <c r="K105" s="156" t="e">
        <f t="shared" si="45"/>
        <v>#REF!</v>
      </c>
      <c r="L105" s="156" t="e">
        <f t="shared" si="45"/>
        <v>#REF!</v>
      </c>
      <c r="M105" s="156" t="e">
        <f t="shared" si="45"/>
        <v>#REF!</v>
      </c>
      <c r="N105" s="156" t="e">
        <f t="shared" si="45"/>
        <v>#REF!</v>
      </c>
    </row>
    <row r="106" spans="2:14" ht="12" hidden="1">
      <c r="B106" s="46"/>
      <c r="E106" s="156">
        <f>+E105*1%</f>
        <v>14170620.42</v>
      </c>
      <c r="F106" s="152">
        <f t="shared" si="31"/>
        <v>14737445.2368</v>
      </c>
      <c r="G106" s="152">
        <f aca="true" t="shared" si="46" ref="G106:G115">+F106*1.025</f>
        <v>15105881.367719999</v>
      </c>
      <c r="H106" s="156" t="e">
        <f aca="true" t="shared" si="47" ref="H106:N106">+H105*1%</f>
        <v>#REF!</v>
      </c>
      <c r="I106" s="156" t="e">
        <f t="shared" si="47"/>
        <v>#REF!</v>
      </c>
      <c r="J106" s="156" t="e">
        <f t="shared" si="47"/>
        <v>#REF!</v>
      </c>
      <c r="K106" s="156" t="e">
        <f t="shared" si="47"/>
        <v>#REF!</v>
      </c>
      <c r="L106" s="156" t="e">
        <f t="shared" si="47"/>
        <v>#REF!</v>
      </c>
      <c r="M106" s="156" t="e">
        <f t="shared" si="47"/>
        <v>#REF!</v>
      </c>
      <c r="N106" s="156" t="e">
        <f t="shared" si="47"/>
        <v>#REF!</v>
      </c>
    </row>
    <row r="107" spans="2:14" ht="12" hidden="1">
      <c r="B107" s="46" t="s">
        <v>141</v>
      </c>
      <c r="E107" s="155">
        <v>0.6592</v>
      </c>
      <c r="F107" s="152">
        <f t="shared" si="31"/>
        <v>0.6855680000000001</v>
      </c>
      <c r="G107" s="152">
        <f t="shared" si="46"/>
        <v>0.7027072</v>
      </c>
      <c r="H107" s="155">
        <v>0.6592</v>
      </c>
      <c r="I107" s="155">
        <v>0.6592</v>
      </c>
      <c r="J107" s="155">
        <v>0.6592</v>
      </c>
      <c r="K107" s="155">
        <v>0.6592</v>
      </c>
      <c r="L107" s="155">
        <v>0.6592</v>
      </c>
      <c r="M107" s="155">
        <v>0.6592</v>
      </c>
      <c r="N107" s="155">
        <v>0.6592</v>
      </c>
    </row>
    <row r="108" spans="2:14" ht="12" hidden="1">
      <c r="B108" s="46"/>
      <c r="E108" s="155">
        <f>+E105*E107</f>
        <v>934127298.0864</v>
      </c>
      <c r="F108" s="152">
        <f t="shared" si="31"/>
        <v>971492390.0098561</v>
      </c>
      <c r="G108" s="152">
        <f t="shared" si="46"/>
        <v>995779699.7601024</v>
      </c>
      <c r="H108" s="155" t="e">
        <f aca="true" t="shared" si="48" ref="H108:N108">+H105*H107</f>
        <v>#REF!</v>
      </c>
      <c r="I108" s="155" t="e">
        <f t="shared" si="48"/>
        <v>#REF!</v>
      </c>
      <c r="J108" s="155" t="e">
        <f t="shared" si="48"/>
        <v>#REF!</v>
      </c>
      <c r="K108" s="155" t="e">
        <f t="shared" si="48"/>
        <v>#REF!</v>
      </c>
      <c r="L108" s="155" t="e">
        <f t="shared" si="48"/>
        <v>#REF!</v>
      </c>
      <c r="M108" s="155" t="e">
        <f t="shared" si="48"/>
        <v>#REF!</v>
      </c>
      <c r="N108" s="155" t="e">
        <f t="shared" si="48"/>
        <v>#REF!</v>
      </c>
    </row>
    <row r="109" spans="5:14" ht="12" hidden="1">
      <c r="E109" s="155">
        <f>+'[1]ANEXO GASTOS'!C15</f>
        <v>47890228</v>
      </c>
      <c r="F109" s="152">
        <f t="shared" si="31"/>
        <v>49805837.120000005</v>
      </c>
      <c r="G109" s="152">
        <f t="shared" si="46"/>
        <v>51050983.048</v>
      </c>
      <c r="H109" s="155" t="e">
        <f>+'[1]ANEXO GASTOS'!I15</f>
        <v>#REF!</v>
      </c>
      <c r="I109" s="155" t="e">
        <f>+'[1]ANEXO GASTOS'!K15</f>
        <v>#REF!</v>
      </c>
      <c r="J109" s="155" t="e">
        <f>+'[1]ANEXO GASTOS'!M15</f>
        <v>#REF!</v>
      </c>
      <c r="K109" s="155" t="e">
        <f>+'[1]ANEXO GASTOS'!N15</f>
        <v>#REF!</v>
      </c>
      <c r="L109" s="155" t="e">
        <f>+'[1]ANEXO GASTOS'!O15</f>
        <v>#REF!</v>
      </c>
      <c r="M109" s="155" t="e">
        <f>+'[1]ANEXO GASTOS'!P15</f>
        <v>#REF!</v>
      </c>
      <c r="N109" s="155" t="e">
        <f>+'[1]ANEXO GASTOS'!Q15</f>
        <v>#REF!</v>
      </c>
    </row>
    <row r="110" spans="6:14" ht="12" hidden="1">
      <c r="F110" s="152">
        <f t="shared" si="31"/>
        <v>0</v>
      </c>
      <c r="G110" s="152">
        <f t="shared" si="46"/>
        <v>0</v>
      </c>
      <c r="H110" s="155"/>
      <c r="I110" s="155"/>
      <c r="J110" s="155"/>
      <c r="K110" s="155"/>
      <c r="L110" s="155"/>
      <c r="M110" s="155"/>
      <c r="N110" s="155"/>
    </row>
    <row r="111" spans="6:14" ht="12" hidden="1">
      <c r="F111" s="152">
        <f t="shared" si="31"/>
        <v>0</v>
      </c>
      <c r="G111" s="152">
        <f t="shared" si="46"/>
        <v>0</v>
      </c>
      <c r="H111" s="155"/>
      <c r="I111" s="155"/>
      <c r="J111" s="155"/>
      <c r="K111" s="155"/>
      <c r="L111" s="155"/>
      <c r="M111" s="155"/>
      <c r="N111" s="155"/>
    </row>
    <row r="112" spans="6:14" ht="12" hidden="1">
      <c r="F112" s="152">
        <f t="shared" si="31"/>
        <v>0</v>
      </c>
      <c r="G112" s="152">
        <f t="shared" si="46"/>
        <v>0</v>
      </c>
      <c r="H112" s="155"/>
      <c r="I112" s="155"/>
      <c r="J112" s="155"/>
      <c r="K112" s="155"/>
      <c r="L112" s="155"/>
      <c r="M112" s="155"/>
      <c r="N112" s="155"/>
    </row>
    <row r="113" spans="6:14" ht="12" hidden="1">
      <c r="F113" s="152">
        <f t="shared" si="31"/>
        <v>0</v>
      </c>
      <c r="G113" s="152">
        <f t="shared" si="46"/>
        <v>0</v>
      </c>
      <c r="H113" s="155"/>
      <c r="I113" s="155"/>
      <c r="J113" s="155"/>
      <c r="K113" s="155"/>
      <c r="L113" s="155"/>
      <c r="M113" s="155"/>
      <c r="N113" s="155"/>
    </row>
    <row r="114" spans="6:14" ht="12" hidden="1">
      <c r="F114" s="152">
        <f t="shared" si="31"/>
        <v>0</v>
      </c>
      <c r="G114" s="152">
        <f t="shared" si="46"/>
        <v>0</v>
      </c>
      <c r="H114" s="155"/>
      <c r="I114" s="155"/>
      <c r="J114" s="155"/>
      <c r="K114" s="155"/>
      <c r="L114" s="155"/>
      <c r="M114" s="155"/>
      <c r="N114" s="155"/>
    </row>
    <row r="115" spans="1:14" ht="12">
      <c r="A115" s="24" t="s">
        <v>633</v>
      </c>
      <c r="B115" s="29" t="s">
        <v>634</v>
      </c>
      <c r="C115" s="26" t="s">
        <v>291</v>
      </c>
      <c r="D115" s="30"/>
      <c r="E115" s="152">
        <v>14748558000</v>
      </c>
      <c r="F115" s="152">
        <f t="shared" si="31"/>
        <v>15338500320</v>
      </c>
      <c r="G115" s="152">
        <f t="shared" si="46"/>
        <v>15721962827.999998</v>
      </c>
      <c r="H115" s="152">
        <f aca="true" t="shared" si="49" ref="H115:N115">+G115*1.025</f>
        <v>16115011898.699997</v>
      </c>
      <c r="I115" s="152">
        <f t="shared" si="49"/>
        <v>16517887196.167496</v>
      </c>
      <c r="J115" s="152">
        <f t="shared" si="49"/>
        <v>16930834376.071682</v>
      </c>
      <c r="K115" s="152">
        <f t="shared" si="49"/>
        <v>17354105235.473473</v>
      </c>
      <c r="L115" s="152">
        <f t="shared" si="49"/>
        <v>17787957866.36031</v>
      </c>
      <c r="M115" s="152">
        <f t="shared" si="49"/>
        <v>18232656813.019318</v>
      </c>
      <c r="N115" s="152">
        <f t="shared" si="49"/>
        <v>18688473233.3448</v>
      </c>
    </row>
    <row r="116" spans="1:14" ht="24" hidden="1">
      <c r="A116" s="24" t="s">
        <v>635</v>
      </c>
      <c r="B116" s="34" t="s">
        <v>636</v>
      </c>
      <c r="C116" s="41"/>
      <c r="D116" s="41"/>
      <c r="E116" s="152">
        <f aca="true" t="shared" si="50" ref="E116:N116">+E117</f>
        <v>100000</v>
      </c>
      <c r="F116" s="152" t="e">
        <f t="shared" si="50"/>
        <v>#REF!</v>
      </c>
      <c r="G116" s="152" t="e">
        <f t="shared" si="50"/>
        <v>#REF!</v>
      </c>
      <c r="H116" s="152" t="e">
        <f t="shared" si="50"/>
        <v>#REF!</v>
      </c>
      <c r="I116" s="152" t="e">
        <f t="shared" si="50"/>
        <v>#REF!</v>
      </c>
      <c r="J116" s="152" t="e">
        <f t="shared" si="50"/>
        <v>#REF!</v>
      </c>
      <c r="K116" s="152" t="e">
        <f t="shared" si="50"/>
        <v>#REF!</v>
      </c>
      <c r="L116" s="152" t="e">
        <f t="shared" si="50"/>
        <v>#REF!</v>
      </c>
      <c r="M116" s="152" t="e">
        <f t="shared" si="50"/>
        <v>#REF!</v>
      </c>
      <c r="N116" s="152" t="e">
        <f t="shared" si="50"/>
        <v>#REF!</v>
      </c>
    </row>
    <row r="117" spans="1:14" ht="12" hidden="1">
      <c r="A117" s="33" t="s">
        <v>637</v>
      </c>
      <c r="B117" s="34" t="s">
        <v>336</v>
      </c>
      <c r="C117" s="41"/>
      <c r="D117" s="41"/>
      <c r="E117" s="153">
        <v>100000</v>
      </c>
      <c r="F117" s="154" t="e">
        <f>+E117*#REF!</f>
        <v>#REF!</v>
      </c>
      <c r="G117" s="154" t="e">
        <f>+F117*#REF!</f>
        <v>#REF!</v>
      </c>
      <c r="H117" s="154" t="e">
        <f>+G117*#REF!</f>
        <v>#REF!</v>
      </c>
      <c r="I117" s="154" t="e">
        <f>+H117*#REF!</f>
        <v>#REF!</v>
      </c>
      <c r="J117" s="154" t="e">
        <f>+I117*#REF!</f>
        <v>#REF!</v>
      </c>
      <c r="K117" s="154" t="e">
        <f>+J117*#REF!</f>
        <v>#REF!</v>
      </c>
      <c r="L117" s="154" t="e">
        <f>+K117*#REF!</f>
        <v>#REF!</v>
      </c>
      <c r="M117" s="154" t="e">
        <f>+L117*#REF!</f>
        <v>#REF!</v>
      </c>
      <c r="N117" s="154" t="e">
        <f>+M117*#REF!</f>
        <v>#REF!</v>
      </c>
    </row>
    <row r="118" spans="6:14" ht="12" hidden="1">
      <c r="F118" s="155"/>
      <c r="G118" s="155"/>
      <c r="H118" s="155"/>
      <c r="I118" s="155"/>
      <c r="J118" s="155"/>
      <c r="K118" s="155"/>
      <c r="L118" s="155"/>
      <c r="M118" s="155"/>
      <c r="N118" s="155"/>
    </row>
    <row r="119" spans="1:14" ht="24" hidden="1">
      <c r="A119" s="24" t="s">
        <v>638</v>
      </c>
      <c r="B119" s="34" t="s">
        <v>639</v>
      </c>
      <c r="C119" s="35" t="s">
        <v>305</v>
      </c>
      <c r="D119" s="41"/>
      <c r="E119" s="152">
        <f aca="true" t="shared" si="51" ref="E119:N119">+E120+E122</f>
        <v>5559563544</v>
      </c>
      <c r="F119" s="152" t="e">
        <f t="shared" si="51"/>
        <v>#REF!</v>
      </c>
      <c r="G119" s="152" t="e">
        <f t="shared" si="51"/>
        <v>#REF!</v>
      </c>
      <c r="H119" s="152" t="e">
        <f t="shared" si="51"/>
        <v>#REF!</v>
      </c>
      <c r="I119" s="152" t="e">
        <f t="shared" si="51"/>
        <v>#REF!</v>
      </c>
      <c r="J119" s="152" t="e">
        <f t="shared" si="51"/>
        <v>#REF!</v>
      </c>
      <c r="K119" s="152" t="e">
        <f t="shared" si="51"/>
        <v>#REF!</v>
      </c>
      <c r="L119" s="152" t="e">
        <f t="shared" si="51"/>
        <v>#REF!</v>
      </c>
      <c r="M119" s="152" t="e">
        <f t="shared" si="51"/>
        <v>#REF!</v>
      </c>
      <c r="N119" s="152" t="e">
        <f t="shared" si="51"/>
        <v>#REF!</v>
      </c>
    </row>
    <row r="120" spans="1:14" ht="12" hidden="1">
      <c r="A120" s="33" t="s">
        <v>640</v>
      </c>
      <c r="B120" s="34" t="s">
        <v>641</v>
      </c>
      <c r="C120" s="35" t="s">
        <v>305</v>
      </c>
      <c r="D120" s="41"/>
      <c r="E120" s="153">
        <f aca="true" t="shared" si="52" ref="E120:N120">+E121</f>
        <v>5381415195</v>
      </c>
      <c r="F120" s="153" t="e">
        <f t="shared" si="52"/>
        <v>#REF!</v>
      </c>
      <c r="G120" s="153" t="e">
        <f t="shared" si="52"/>
        <v>#REF!</v>
      </c>
      <c r="H120" s="153" t="e">
        <f t="shared" si="52"/>
        <v>#REF!</v>
      </c>
      <c r="I120" s="153" t="e">
        <f t="shared" si="52"/>
        <v>#REF!</v>
      </c>
      <c r="J120" s="153" t="e">
        <f t="shared" si="52"/>
        <v>#REF!</v>
      </c>
      <c r="K120" s="153" t="e">
        <f t="shared" si="52"/>
        <v>#REF!</v>
      </c>
      <c r="L120" s="153" t="e">
        <f t="shared" si="52"/>
        <v>#REF!</v>
      </c>
      <c r="M120" s="153" t="e">
        <f t="shared" si="52"/>
        <v>#REF!</v>
      </c>
      <c r="N120" s="153" t="e">
        <f t="shared" si="52"/>
        <v>#REF!</v>
      </c>
    </row>
    <row r="121" spans="1:14" ht="24" hidden="1">
      <c r="A121" s="33" t="s">
        <v>642</v>
      </c>
      <c r="B121" s="34" t="s">
        <v>643</v>
      </c>
      <c r="C121" s="35" t="s">
        <v>305</v>
      </c>
      <c r="D121" s="41"/>
      <c r="E121" s="153">
        <v>5381415195</v>
      </c>
      <c r="F121" s="154" t="e">
        <f>+E121*#REF!</f>
        <v>#REF!</v>
      </c>
      <c r="G121" s="154" t="e">
        <f>+F121*#REF!</f>
        <v>#REF!</v>
      </c>
      <c r="H121" s="154" t="e">
        <f>+G121*#REF!</f>
        <v>#REF!</v>
      </c>
      <c r="I121" s="154" t="e">
        <f>+H121*#REF!</f>
        <v>#REF!</v>
      </c>
      <c r="J121" s="154" t="e">
        <f>+I121*#REF!</f>
        <v>#REF!</v>
      </c>
      <c r="K121" s="154" t="e">
        <f>+J121*#REF!</f>
        <v>#REF!</v>
      </c>
      <c r="L121" s="154" t="e">
        <f>+K121*#REF!</f>
        <v>#REF!</v>
      </c>
      <c r="M121" s="154" t="e">
        <f>+L121*#REF!</f>
        <v>#REF!</v>
      </c>
      <c r="N121" s="154" t="e">
        <f>+M121*#REF!</f>
        <v>#REF!</v>
      </c>
    </row>
    <row r="122" spans="1:14" ht="12" hidden="1">
      <c r="A122" s="33" t="s">
        <v>644</v>
      </c>
      <c r="B122" s="34" t="s">
        <v>362</v>
      </c>
      <c r="C122" s="35" t="s">
        <v>305</v>
      </c>
      <c r="D122" s="41"/>
      <c r="E122" s="154">
        <v>178148349</v>
      </c>
      <c r="F122" s="154" t="e">
        <f>+E122*#REF!</f>
        <v>#REF!</v>
      </c>
      <c r="G122" s="154" t="e">
        <f>+F122*#REF!</f>
        <v>#REF!</v>
      </c>
      <c r="H122" s="154" t="e">
        <f>+G122*#REF!</f>
        <v>#REF!</v>
      </c>
      <c r="I122" s="154" t="e">
        <f>+H122*#REF!</f>
        <v>#REF!</v>
      </c>
      <c r="J122" s="154" t="e">
        <f>+I122*#REF!</f>
        <v>#REF!</v>
      </c>
      <c r="K122" s="154" t="e">
        <f>+J122*#REF!</f>
        <v>#REF!</v>
      </c>
      <c r="L122" s="154" t="e">
        <f>+K122*#REF!</f>
        <v>#REF!</v>
      </c>
      <c r="M122" s="154" t="e">
        <f>+L122*#REF!</f>
        <v>#REF!</v>
      </c>
      <c r="N122" s="154" t="e">
        <f>+M122*#REF!</f>
        <v>#REF!</v>
      </c>
    </row>
    <row r="123" spans="6:14" ht="12" hidden="1">
      <c r="F123" s="155"/>
      <c r="G123" s="155"/>
      <c r="H123" s="155"/>
      <c r="I123" s="155"/>
      <c r="J123" s="155"/>
      <c r="K123" s="155"/>
      <c r="L123" s="155"/>
      <c r="M123" s="155"/>
      <c r="N123" s="155"/>
    </row>
    <row r="124" spans="1:14" ht="36" hidden="1">
      <c r="A124" s="24" t="s">
        <v>645</v>
      </c>
      <c r="B124" s="34" t="s">
        <v>646</v>
      </c>
      <c r="C124" s="35" t="s">
        <v>305</v>
      </c>
      <c r="D124" s="41"/>
      <c r="E124" s="152">
        <f aca="true" t="shared" si="53" ref="E124:N124">SUM(E125:E126)</f>
        <v>109085226</v>
      </c>
      <c r="F124" s="152" t="e">
        <f t="shared" si="53"/>
        <v>#REF!</v>
      </c>
      <c r="G124" s="152" t="e">
        <f t="shared" si="53"/>
        <v>#REF!</v>
      </c>
      <c r="H124" s="152" t="e">
        <f t="shared" si="53"/>
        <v>#REF!</v>
      </c>
      <c r="I124" s="152" t="e">
        <f t="shared" si="53"/>
        <v>#REF!</v>
      </c>
      <c r="J124" s="152" t="e">
        <f t="shared" si="53"/>
        <v>#REF!</v>
      </c>
      <c r="K124" s="152" t="e">
        <f t="shared" si="53"/>
        <v>#REF!</v>
      </c>
      <c r="L124" s="152" t="e">
        <f t="shared" si="53"/>
        <v>#REF!</v>
      </c>
      <c r="M124" s="152" t="e">
        <f t="shared" si="53"/>
        <v>#REF!</v>
      </c>
      <c r="N124" s="152" t="e">
        <f t="shared" si="53"/>
        <v>#REF!</v>
      </c>
    </row>
    <row r="125" spans="1:14" ht="12" hidden="1">
      <c r="A125" s="33" t="s">
        <v>647</v>
      </c>
      <c r="B125" s="43" t="s">
        <v>300</v>
      </c>
      <c r="C125" s="35"/>
      <c r="D125" s="41"/>
      <c r="E125" s="157">
        <v>109085226</v>
      </c>
      <c r="F125" s="154" t="e">
        <f>+E125*#REF!</f>
        <v>#REF!</v>
      </c>
      <c r="G125" s="154" t="e">
        <f>+F125*#REF!</f>
        <v>#REF!</v>
      </c>
      <c r="H125" s="154" t="e">
        <f>+G125*#REF!</f>
        <v>#REF!</v>
      </c>
      <c r="I125" s="154" t="e">
        <f>+H125*#REF!</f>
        <v>#REF!</v>
      </c>
      <c r="J125" s="154" t="e">
        <f>+I125*#REF!</f>
        <v>#REF!</v>
      </c>
      <c r="K125" s="154" t="e">
        <f>+J125*#REF!</f>
        <v>#REF!</v>
      </c>
      <c r="L125" s="154" t="e">
        <f>+K125*#REF!</f>
        <v>#REF!</v>
      </c>
      <c r="M125" s="154" t="e">
        <f>+L125*#REF!</f>
        <v>#REF!</v>
      </c>
      <c r="N125" s="154" t="e">
        <f>+M125*#REF!</f>
        <v>#REF!</v>
      </c>
    </row>
    <row r="126" spans="6:14" ht="12" hidden="1">
      <c r="F126" s="155"/>
      <c r="G126" s="155"/>
      <c r="H126" s="155"/>
      <c r="I126" s="155"/>
      <c r="J126" s="155"/>
      <c r="K126" s="155"/>
      <c r="L126" s="155"/>
      <c r="M126" s="155"/>
      <c r="N126" s="155"/>
    </row>
    <row r="127" spans="1:14" ht="24" hidden="1">
      <c r="A127" s="24" t="s">
        <v>648</v>
      </c>
      <c r="B127" s="34" t="s">
        <v>649</v>
      </c>
      <c r="C127" s="41"/>
      <c r="D127" s="41"/>
      <c r="E127" s="152">
        <f aca="true" t="shared" si="54" ref="E127:N127">+E128+E129</f>
        <v>4286900000</v>
      </c>
      <c r="F127" s="152" t="e">
        <f t="shared" si="54"/>
        <v>#REF!</v>
      </c>
      <c r="G127" s="152" t="e">
        <f t="shared" si="54"/>
        <v>#REF!</v>
      </c>
      <c r="H127" s="152" t="e">
        <f t="shared" si="54"/>
        <v>#REF!</v>
      </c>
      <c r="I127" s="152" t="e">
        <f t="shared" si="54"/>
        <v>#REF!</v>
      </c>
      <c r="J127" s="152" t="e">
        <f t="shared" si="54"/>
        <v>#REF!</v>
      </c>
      <c r="K127" s="152" t="e">
        <f t="shared" si="54"/>
        <v>#REF!</v>
      </c>
      <c r="L127" s="152" t="e">
        <f t="shared" si="54"/>
        <v>#REF!</v>
      </c>
      <c r="M127" s="152" t="e">
        <f t="shared" si="54"/>
        <v>#REF!</v>
      </c>
      <c r="N127" s="152" t="e">
        <f t="shared" si="54"/>
        <v>#REF!</v>
      </c>
    </row>
    <row r="128" spans="1:14" ht="24" hidden="1">
      <c r="A128" s="33" t="s">
        <v>650</v>
      </c>
      <c r="B128" s="34" t="s">
        <v>651</v>
      </c>
      <c r="C128" s="41"/>
      <c r="D128" s="41"/>
      <c r="E128" s="153">
        <v>4219000000</v>
      </c>
      <c r="F128" s="154" t="e">
        <f>+E128*#REF!</f>
        <v>#REF!</v>
      </c>
      <c r="G128" s="154" t="e">
        <f>+F128*#REF!</f>
        <v>#REF!</v>
      </c>
      <c r="H128" s="154" t="e">
        <f>+G128*#REF!</f>
        <v>#REF!</v>
      </c>
      <c r="I128" s="154" t="e">
        <f>+H128*#REF!</f>
        <v>#REF!</v>
      </c>
      <c r="J128" s="154" t="e">
        <f>+I128*#REF!</f>
        <v>#REF!</v>
      </c>
      <c r="K128" s="154" t="e">
        <f>+J128*#REF!</f>
        <v>#REF!</v>
      </c>
      <c r="L128" s="154" t="e">
        <f>+K128*#REF!</f>
        <v>#REF!</v>
      </c>
      <c r="M128" s="154" t="e">
        <f>+L128*#REF!</f>
        <v>#REF!</v>
      </c>
      <c r="N128" s="154" t="e">
        <f>+M128*#REF!</f>
        <v>#REF!</v>
      </c>
    </row>
    <row r="129" spans="1:14" ht="36" hidden="1">
      <c r="A129" s="33" t="s">
        <v>652</v>
      </c>
      <c r="B129" s="34" t="s">
        <v>366</v>
      </c>
      <c r="C129" s="41"/>
      <c r="D129" s="41"/>
      <c r="E129" s="153">
        <v>67900000</v>
      </c>
      <c r="F129" s="154" t="e">
        <f>+E129*#REF!</f>
        <v>#REF!</v>
      </c>
      <c r="G129" s="154" t="e">
        <f>+F129*#REF!</f>
        <v>#REF!</v>
      </c>
      <c r="H129" s="154" t="e">
        <f>+G129*#REF!</f>
        <v>#REF!</v>
      </c>
      <c r="I129" s="154" t="e">
        <f>+H129*#REF!</f>
        <v>#REF!</v>
      </c>
      <c r="J129" s="154" t="e">
        <f>+I129*#REF!</f>
        <v>#REF!</v>
      </c>
      <c r="K129" s="154" t="e">
        <f>+J129*#REF!</f>
        <v>#REF!</v>
      </c>
      <c r="L129" s="154" t="e">
        <f>+K129*#REF!</f>
        <v>#REF!</v>
      </c>
      <c r="M129" s="154" t="e">
        <f>+L129*#REF!</f>
        <v>#REF!</v>
      </c>
      <c r="N129" s="154" t="e">
        <f>+M129*#REF!</f>
        <v>#REF!</v>
      </c>
    </row>
    <row r="130" spans="6:14" ht="12" hidden="1">
      <c r="F130" s="155"/>
      <c r="G130" s="155"/>
      <c r="H130" s="155"/>
      <c r="I130" s="155"/>
      <c r="J130" s="155"/>
      <c r="K130" s="155"/>
      <c r="L130" s="155"/>
      <c r="M130" s="155"/>
      <c r="N130" s="155"/>
    </row>
    <row r="131" spans="1:14" ht="12" hidden="1">
      <c r="A131" s="24" t="s">
        <v>653</v>
      </c>
      <c r="B131" s="29" t="s">
        <v>654</v>
      </c>
      <c r="C131" s="41"/>
      <c r="D131" s="41"/>
      <c r="E131" s="152">
        <f aca="true" t="shared" si="55" ref="E131:N132">+E132</f>
        <v>198769000</v>
      </c>
      <c r="F131" s="152" t="e">
        <f t="shared" si="55"/>
        <v>#REF!</v>
      </c>
      <c r="G131" s="152" t="e">
        <f t="shared" si="55"/>
        <v>#REF!</v>
      </c>
      <c r="H131" s="152" t="e">
        <f t="shared" si="55"/>
        <v>#REF!</v>
      </c>
      <c r="I131" s="152" t="e">
        <f t="shared" si="55"/>
        <v>#REF!</v>
      </c>
      <c r="J131" s="152" t="e">
        <f t="shared" si="55"/>
        <v>#REF!</v>
      </c>
      <c r="K131" s="152" t="e">
        <f t="shared" si="55"/>
        <v>#REF!</v>
      </c>
      <c r="L131" s="152" t="e">
        <f t="shared" si="55"/>
        <v>#REF!</v>
      </c>
      <c r="M131" s="152" t="e">
        <f t="shared" si="55"/>
        <v>#REF!</v>
      </c>
      <c r="N131" s="152" t="e">
        <f t="shared" si="55"/>
        <v>#REF!</v>
      </c>
    </row>
    <row r="132" spans="1:14" ht="24" hidden="1">
      <c r="A132" s="33" t="s">
        <v>655</v>
      </c>
      <c r="B132" s="34" t="s">
        <v>373</v>
      </c>
      <c r="C132" s="41"/>
      <c r="D132" s="41"/>
      <c r="E132" s="153">
        <f t="shared" si="55"/>
        <v>198769000</v>
      </c>
      <c r="F132" s="153" t="e">
        <f t="shared" si="55"/>
        <v>#REF!</v>
      </c>
      <c r="G132" s="153" t="e">
        <f t="shared" si="55"/>
        <v>#REF!</v>
      </c>
      <c r="H132" s="153" t="e">
        <f t="shared" si="55"/>
        <v>#REF!</v>
      </c>
      <c r="I132" s="153" t="e">
        <f t="shared" si="55"/>
        <v>#REF!</v>
      </c>
      <c r="J132" s="153" t="e">
        <f t="shared" si="55"/>
        <v>#REF!</v>
      </c>
      <c r="K132" s="153" t="e">
        <f t="shared" si="55"/>
        <v>#REF!</v>
      </c>
      <c r="L132" s="153" t="e">
        <f t="shared" si="55"/>
        <v>#REF!</v>
      </c>
      <c r="M132" s="153" t="e">
        <f t="shared" si="55"/>
        <v>#REF!</v>
      </c>
      <c r="N132" s="153" t="e">
        <f t="shared" si="55"/>
        <v>#REF!</v>
      </c>
    </row>
    <row r="133" spans="1:14" ht="12" hidden="1">
      <c r="A133" s="33" t="s">
        <v>656</v>
      </c>
      <c r="B133" s="34" t="s">
        <v>538</v>
      </c>
      <c r="C133" s="41"/>
      <c r="D133" s="41"/>
      <c r="E133" s="153">
        <v>198769000</v>
      </c>
      <c r="F133" s="154" t="e">
        <f>+E133*#REF!</f>
        <v>#REF!</v>
      </c>
      <c r="G133" s="154" t="e">
        <f>+F133*#REF!</f>
        <v>#REF!</v>
      </c>
      <c r="H133" s="154" t="e">
        <f>+G133*#REF!</f>
        <v>#REF!</v>
      </c>
      <c r="I133" s="154" t="e">
        <f>+H133*#REF!</f>
        <v>#REF!</v>
      </c>
      <c r="J133" s="154" t="e">
        <f>+I133*#REF!</f>
        <v>#REF!</v>
      </c>
      <c r="K133" s="154" t="e">
        <f>+J133*#REF!</f>
        <v>#REF!</v>
      </c>
      <c r="L133" s="154" t="e">
        <f>+K133*#REF!</f>
        <v>#REF!</v>
      </c>
      <c r="M133" s="154" t="e">
        <f>+L133*#REF!</f>
        <v>#REF!</v>
      </c>
      <c r="N133" s="154" t="e">
        <f>+M133*#REF!</f>
        <v>#REF!</v>
      </c>
    </row>
    <row r="134" spans="6:14" ht="12" hidden="1">
      <c r="F134" s="155"/>
      <c r="G134" s="155"/>
      <c r="H134" s="155"/>
      <c r="I134" s="155"/>
      <c r="J134" s="155"/>
      <c r="K134" s="155"/>
      <c r="L134" s="155"/>
      <c r="M134" s="155"/>
      <c r="N134" s="155"/>
    </row>
    <row r="135" spans="1:14" ht="24" hidden="1">
      <c r="A135" s="24" t="s">
        <v>657</v>
      </c>
      <c r="B135" s="29" t="s">
        <v>658</v>
      </c>
      <c r="C135" s="41"/>
      <c r="D135" s="41"/>
      <c r="E135" s="152">
        <f aca="true" t="shared" si="56" ref="E135:N135">+E136</f>
        <v>2000</v>
      </c>
      <c r="F135" s="152" t="e">
        <f t="shared" si="56"/>
        <v>#REF!</v>
      </c>
      <c r="G135" s="152" t="e">
        <f t="shared" si="56"/>
        <v>#REF!</v>
      </c>
      <c r="H135" s="152" t="e">
        <f t="shared" si="56"/>
        <v>#REF!</v>
      </c>
      <c r="I135" s="152" t="e">
        <f t="shared" si="56"/>
        <v>#REF!</v>
      </c>
      <c r="J135" s="152" t="e">
        <f t="shared" si="56"/>
        <v>#REF!</v>
      </c>
      <c r="K135" s="152" t="e">
        <f t="shared" si="56"/>
        <v>#REF!</v>
      </c>
      <c r="L135" s="152" t="e">
        <f t="shared" si="56"/>
        <v>#REF!</v>
      </c>
      <c r="M135" s="152" t="e">
        <f t="shared" si="56"/>
        <v>#REF!</v>
      </c>
      <c r="N135" s="152" t="e">
        <f t="shared" si="56"/>
        <v>#REF!</v>
      </c>
    </row>
    <row r="136" spans="1:14" ht="24" hidden="1">
      <c r="A136" s="33" t="s">
        <v>659</v>
      </c>
      <c r="B136" s="34" t="s">
        <v>394</v>
      </c>
      <c r="C136" s="41"/>
      <c r="D136" s="41"/>
      <c r="E136" s="153">
        <f aca="true" t="shared" si="57" ref="E136:N136">+E137+E138</f>
        <v>2000</v>
      </c>
      <c r="F136" s="153" t="e">
        <f t="shared" si="57"/>
        <v>#REF!</v>
      </c>
      <c r="G136" s="153" t="e">
        <f t="shared" si="57"/>
        <v>#REF!</v>
      </c>
      <c r="H136" s="153" t="e">
        <f t="shared" si="57"/>
        <v>#REF!</v>
      </c>
      <c r="I136" s="153" t="e">
        <f t="shared" si="57"/>
        <v>#REF!</v>
      </c>
      <c r="J136" s="153" t="e">
        <f t="shared" si="57"/>
        <v>#REF!</v>
      </c>
      <c r="K136" s="153" t="e">
        <f t="shared" si="57"/>
        <v>#REF!</v>
      </c>
      <c r="L136" s="153" t="e">
        <f t="shared" si="57"/>
        <v>#REF!</v>
      </c>
      <c r="M136" s="153" t="e">
        <f t="shared" si="57"/>
        <v>#REF!</v>
      </c>
      <c r="N136" s="153" t="e">
        <f t="shared" si="57"/>
        <v>#REF!</v>
      </c>
    </row>
    <row r="137" spans="1:14" ht="36" hidden="1">
      <c r="A137" s="33" t="s">
        <v>660</v>
      </c>
      <c r="B137" s="34" t="s">
        <v>395</v>
      </c>
      <c r="C137" s="41"/>
      <c r="D137" s="41"/>
      <c r="E137" s="153">
        <v>1000</v>
      </c>
      <c r="F137" s="154" t="e">
        <f>+E137*#REF!</f>
        <v>#REF!</v>
      </c>
      <c r="G137" s="154" t="e">
        <f>+F137*#REF!</f>
        <v>#REF!</v>
      </c>
      <c r="H137" s="154" t="e">
        <f>+G137*#REF!</f>
        <v>#REF!</v>
      </c>
      <c r="I137" s="154" t="e">
        <f>+H137*#REF!</f>
        <v>#REF!</v>
      </c>
      <c r="J137" s="154" t="e">
        <f>+I137*#REF!</f>
        <v>#REF!</v>
      </c>
      <c r="K137" s="154" t="e">
        <f>+J137*#REF!</f>
        <v>#REF!</v>
      </c>
      <c r="L137" s="154" t="e">
        <f>+K137*#REF!</f>
        <v>#REF!</v>
      </c>
      <c r="M137" s="154" t="e">
        <f>+L137*#REF!</f>
        <v>#REF!</v>
      </c>
      <c r="N137" s="154" t="e">
        <f>+M137*#REF!</f>
        <v>#REF!</v>
      </c>
    </row>
    <row r="138" spans="1:14" ht="24" hidden="1">
      <c r="A138" s="33" t="s">
        <v>661</v>
      </c>
      <c r="B138" s="34" t="s">
        <v>396</v>
      </c>
      <c r="C138" s="41"/>
      <c r="D138" s="41"/>
      <c r="E138" s="153">
        <v>1000</v>
      </c>
      <c r="F138" s="154" t="e">
        <f>+E138*#REF!</f>
        <v>#REF!</v>
      </c>
      <c r="G138" s="154" t="e">
        <f>+F138*#REF!</f>
        <v>#REF!</v>
      </c>
      <c r="H138" s="154" t="e">
        <f>+G138*#REF!</f>
        <v>#REF!</v>
      </c>
      <c r="I138" s="154" t="e">
        <f>+H138*#REF!</f>
        <v>#REF!</v>
      </c>
      <c r="J138" s="154" t="e">
        <f>+I138*#REF!</f>
        <v>#REF!</v>
      </c>
      <c r="K138" s="154" t="e">
        <f>+J138*#REF!</f>
        <v>#REF!</v>
      </c>
      <c r="L138" s="154" t="e">
        <f>+K138*#REF!</f>
        <v>#REF!</v>
      </c>
      <c r="M138" s="154" t="e">
        <f>+L138*#REF!</f>
        <v>#REF!</v>
      </c>
      <c r="N138" s="154" t="e">
        <f>+M138*#REF!</f>
        <v>#REF!</v>
      </c>
    </row>
    <row r="139" spans="6:14" ht="12" hidden="1">
      <c r="F139" s="155"/>
      <c r="G139" s="155"/>
      <c r="H139" s="155"/>
      <c r="I139" s="155"/>
      <c r="J139" s="155"/>
      <c r="K139" s="155"/>
      <c r="L139" s="155"/>
      <c r="M139" s="155"/>
      <c r="N139" s="155"/>
    </row>
    <row r="140" spans="6:14" ht="12" hidden="1">
      <c r="F140" s="155"/>
      <c r="G140" s="155"/>
      <c r="H140" s="155"/>
      <c r="I140" s="155"/>
      <c r="J140" s="155"/>
      <c r="K140" s="155"/>
      <c r="L140" s="155"/>
      <c r="M140" s="155"/>
      <c r="N140" s="155"/>
    </row>
    <row r="141" spans="6:14" ht="12">
      <c r="F141" s="155"/>
      <c r="G141" s="155"/>
      <c r="H141" s="155"/>
      <c r="I141" s="155"/>
      <c r="J141" s="155"/>
      <c r="K141" s="155"/>
      <c r="L141" s="155"/>
      <c r="M141" s="155"/>
      <c r="N141" s="155"/>
    </row>
    <row r="142" spans="1:14" s="56" customFormat="1" ht="12">
      <c r="A142" s="52" t="s">
        <v>304</v>
      </c>
      <c r="B142" s="53" t="s">
        <v>303</v>
      </c>
      <c r="C142" s="54">
        <v>2012</v>
      </c>
      <c r="D142" s="55"/>
      <c r="E142" s="158">
        <v>2013</v>
      </c>
      <c r="F142" s="158">
        <f aca="true" t="shared" si="58" ref="F142:N142">+E142+1</f>
        <v>2014</v>
      </c>
      <c r="G142" s="158">
        <f t="shared" si="58"/>
        <v>2015</v>
      </c>
      <c r="H142" s="158">
        <f t="shared" si="58"/>
        <v>2016</v>
      </c>
      <c r="I142" s="158">
        <f t="shared" si="58"/>
        <v>2017</v>
      </c>
      <c r="J142" s="158">
        <f t="shared" si="58"/>
        <v>2018</v>
      </c>
      <c r="K142" s="158">
        <f t="shared" si="58"/>
        <v>2019</v>
      </c>
      <c r="L142" s="158">
        <f t="shared" si="58"/>
        <v>2020</v>
      </c>
      <c r="M142" s="158">
        <f t="shared" si="58"/>
        <v>2021</v>
      </c>
      <c r="N142" s="158">
        <f t="shared" si="58"/>
        <v>2022</v>
      </c>
    </row>
    <row r="143" spans="1:14" s="279" customFormat="1" ht="18.75" customHeight="1">
      <c r="A143" s="275"/>
      <c r="B143" s="276" t="s">
        <v>616</v>
      </c>
      <c r="C143" s="277">
        <f>+C145+C212</f>
        <v>15693758140.003334</v>
      </c>
      <c r="D143" s="278"/>
      <c r="E143" s="277">
        <f>+E145+E212+E386</f>
        <v>20862877000.16</v>
      </c>
      <c r="F143" s="277">
        <f aca="true" t="shared" si="59" ref="F143:N143">+F145+F212+F386</f>
        <v>21670101840.1664</v>
      </c>
      <c r="G143" s="277">
        <f t="shared" si="59"/>
        <v>22211854386.17056</v>
      </c>
      <c r="H143" s="277">
        <f t="shared" si="59"/>
        <v>22767150745.824818</v>
      </c>
      <c r="I143" s="277">
        <f t="shared" si="59"/>
        <v>23336329514.47044</v>
      </c>
      <c r="J143" s="277">
        <f t="shared" si="59"/>
        <v>23919737752.3322</v>
      </c>
      <c r="K143" s="277">
        <f t="shared" si="59"/>
        <v>24517731196.1405</v>
      </c>
      <c r="L143" s="277">
        <f t="shared" si="59"/>
        <v>25130674476.04401</v>
      </c>
      <c r="M143" s="277">
        <f t="shared" si="59"/>
        <v>25758941337.945107</v>
      </c>
      <c r="N143" s="277">
        <f t="shared" si="59"/>
        <v>26402914871.393738</v>
      </c>
    </row>
    <row r="144" spans="3:14" s="61" customFormat="1" ht="12">
      <c r="C144" s="62"/>
      <c r="D144" s="63"/>
      <c r="E144" s="160"/>
      <c r="F144" s="160"/>
      <c r="G144" s="160"/>
      <c r="H144" s="160"/>
      <c r="I144" s="160"/>
      <c r="J144" s="160"/>
      <c r="K144" s="160"/>
      <c r="L144" s="160"/>
      <c r="M144" s="160"/>
      <c r="N144" s="160"/>
    </row>
    <row r="145" spans="1:14" s="66" customFormat="1" ht="12">
      <c r="A145" s="64">
        <v>1</v>
      </c>
      <c r="B145" s="58" t="s">
        <v>116</v>
      </c>
      <c r="C145" s="59">
        <f>+C147+C149+C151</f>
        <v>1196923935</v>
      </c>
      <c r="D145" s="65"/>
      <c r="E145" s="159">
        <f>SUM(E147:E151)</f>
        <v>1228000000.1599998</v>
      </c>
      <c r="F145" s="152">
        <f>+E145*1.04</f>
        <v>1277120000.1664</v>
      </c>
      <c r="G145" s="159">
        <f aca="true" t="shared" si="60" ref="G145:N145">+G147+G149+G151</f>
        <v>1309048000.17056</v>
      </c>
      <c r="H145" s="159">
        <f t="shared" si="60"/>
        <v>1341774200.1748238</v>
      </c>
      <c r="I145" s="159">
        <f t="shared" si="60"/>
        <v>1375318555.179194</v>
      </c>
      <c r="J145" s="159">
        <f t="shared" si="60"/>
        <v>1409701519.0586739</v>
      </c>
      <c r="K145" s="159">
        <f t="shared" si="60"/>
        <v>1444944057.0351405</v>
      </c>
      <c r="L145" s="159">
        <f t="shared" si="60"/>
        <v>1481067658.461019</v>
      </c>
      <c r="M145" s="159">
        <f t="shared" si="60"/>
        <v>1518094349.9225442</v>
      </c>
      <c r="N145" s="159">
        <f t="shared" si="60"/>
        <v>1556046708.6706078</v>
      </c>
    </row>
    <row r="146" spans="3:14" s="61" customFormat="1" ht="12" hidden="1">
      <c r="C146" s="62"/>
      <c r="D146" s="63"/>
      <c r="E146" s="160"/>
      <c r="F146" s="152">
        <f aca="true" t="shared" si="61" ref="F146:F151">+E146*1.04</f>
        <v>0</v>
      </c>
      <c r="G146" s="160"/>
      <c r="H146" s="160"/>
      <c r="I146" s="160"/>
      <c r="J146" s="160"/>
      <c r="K146" s="160"/>
      <c r="L146" s="160"/>
      <c r="M146" s="160"/>
      <c r="N146" s="160"/>
    </row>
    <row r="147" spans="1:14" s="66" customFormat="1" ht="12">
      <c r="A147" s="64" t="s">
        <v>251</v>
      </c>
      <c r="B147" s="58" t="s">
        <v>133</v>
      </c>
      <c r="C147" s="59">
        <v>132128760</v>
      </c>
      <c r="D147" s="65">
        <v>1.04</v>
      </c>
      <c r="E147" s="159">
        <v>136621138</v>
      </c>
      <c r="F147" s="152">
        <f t="shared" si="61"/>
        <v>142085983.52</v>
      </c>
      <c r="G147" s="152">
        <f>+F147*1.025</f>
        <v>145638133.108</v>
      </c>
      <c r="H147" s="152">
        <f aca="true" t="shared" si="62" ref="H147:N147">+G147*1.025</f>
        <v>149279086.4357</v>
      </c>
      <c r="I147" s="152">
        <f t="shared" si="62"/>
        <v>153011063.5965925</v>
      </c>
      <c r="J147" s="152">
        <f t="shared" si="62"/>
        <v>156836340.18650728</v>
      </c>
      <c r="K147" s="152">
        <f t="shared" si="62"/>
        <v>160757248.69116995</v>
      </c>
      <c r="L147" s="152">
        <f t="shared" si="62"/>
        <v>164776179.90844917</v>
      </c>
      <c r="M147" s="152">
        <f t="shared" si="62"/>
        <v>168895584.40616038</v>
      </c>
      <c r="N147" s="152">
        <f t="shared" si="62"/>
        <v>173117974.0163144</v>
      </c>
    </row>
    <row r="148" spans="3:14" s="61" customFormat="1" ht="12" hidden="1">
      <c r="C148" s="62"/>
      <c r="D148" s="63"/>
      <c r="E148" s="160"/>
      <c r="F148" s="152">
        <f t="shared" si="61"/>
        <v>0</v>
      </c>
      <c r="G148" s="152">
        <f aca="true" t="shared" si="63" ref="G148:N151">+F148*1.025</f>
        <v>0</v>
      </c>
      <c r="H148" s="160"/>
      <c r="I148" s="160"/>
      <c r="J148" s="160"/>
      <c r="K148" s="160"/>
      <c r="L148" s="160"/>
      <c r="M148" s="160"/>
      <c r="N148" s="160"/>
    </row>
    <row r="149" spans="1:14" s="66" customFormat="1" ht="12">
      <c r="A149" s="64" t="s">
        <v>252</v>
      </c>
      <c r="B149" s="58" t="s">
        <v>134</v>
      </c>
      <c r="C149" s="59">
        <v>83955300</v>
      </c>
      <c r="D149" s="65">
        <v>1.04</v>
      </c>
      <c r="E149" s="159">
        <v>86642901.6</v>
      </c>
      <c r="F149" s="152">
        <f t="shared" si="61"/>
        <v>90108617.66399999</v>
      </c>
      <c r="G149" s="152">
        <f t="shared" si="63"/>
        <v>92361333.10559998</v>
      </c>
      <c r="H149" s="152">
        <f t="shared" si="63"/>
        <v>94670366.43323998</v>
      </c>
      <c r="I149" s="152">
        <f t="shared" si="63"/>
        <v>97037125.59407097</v>
      </c>
      <c r="J149" s="152">
        <f t="shared" si="63"/>
        <v>99463053.73392273</v>
      </c>
      <c r="K149" s="152">
        <f t="shared" si="63"/>
        <v>101949630.07727079</v>
      </c>
      <c r="L149" s="152">
        <f t="shared" si="63"/>
        <v>104498370.82920255</v>
      </c>
      <c r="M149" s="152">
        <f t="shared" si="63"/>
        <v>107110830.0999326</v>
      </c>
      <c r="N149" s="152">
        <f t="shared" si="63"/>
        <v>109788600.8524309</v>
      </c>
    </row>
    <row r="150" spans="3:14" s="61" customFormat="1" ht="12" hidden="1">
      <c r="C150" s="62"/>
      <c r="D150" s="63"/>
      <c r="E150" s="160"/>
      <c r="F150" s="152">
        <f t="shared" si="61"/>
        <v>0</v>
      </c>
      <c r="G150" s="152">
        <f t="shared" si="63"/>
        <v>0</v>
      </c>
      <c r="H150" s="160"/>
      <c r="I150" s="160"/>
      <c r="J150" s="160"/>
      <c r="K150" s="160"/>
      <c r="L150" s="160"/>
      <c r="M150" s="160"/>
      <c r="N150" s="160"/>
    </row>
    <row r="151" spans="1:14" s="61" customFormat="1" ht="14.25" customHeight="1">
      <c r="A151" s="64" t="s">
        <v>253</v>
      </c>
      <c r="B151" s="58" t="s">
        <v>110</v>
      </c>
      <c r="C151" s="59">
        <f>+C152+C184+C205</f>
        <v>980839875</v>
      </c>
      <c r="D151" s="65">
        <v>1.04</v>
      </c>
      <c r="E151" s="159">
        <f>971735960.56+33000000</f>
        <v>1004735960.56</v>
      </c>
      <c r="F151" s="152">
        <f t="shared" si="61"/>
        <v>1044925398.9824</v>
      </c>
      <c r="G151" s="152">
        <f t="shared" si="63"/>
        <v>1071048533.9569598</v>
      </c>
      <c r="H151" s="152">
        <f t="shared" si="63"/>
        <v>1097824747.3058836</v>
      </c>
      <c r="I151" s="152">
        <f t="shared" si="63"/>
        <v>1125270365.9885306</v>
      </c>
      <c r="J151" s="152">
        <f t="shared" si="63"/>
        <v>1153402125.138244</v>
      </c>
      <c r="K151" s="152">
        <f t="shared" si="63"/>
        <v>1182237178.2666998</v>
      </c>
      <c r="L151" s="152">
        <f t="shared" si="63"/>
        <v>1211793107.7233672</v>
      </c>
      <c r="M151" s="152">
        <f t="shared" si="63"/>
        <v>1242087935.4164512</v>
      </c>
      <c r="N151" s="152">
        <f t="shared" si="63"/>
        <v>1273140133.8018625</v>
      </c>
    </row>
    <row r="152" spans="1:14" s="61" customFormat="1" ht="14.25" customHeight="1" hidden="1">
      <c r="A152" s="64" t="s">
        <v>478</v>
      </c>
      <c r="B152" s="58" t="s">
        <v>117</v>
      </c>
      <c r="C152" s="59">
        <f>+C153+C166+C168</f>
        <v>708897362</v>
      </c>
      <c r="D152" s="63"/>
      <c r="E152" s="159">
        <f aca="true" t="shared" si="64" ref="E152:N152">+E153+E166+E168</f>
        <v>708897362</v>
      </c>
      <c r="F152" s="159">
        <f t="shared" si="64"/>
        <v>708897362</v>
      </c>
      <c r="G152" s="159">
        <f t="shared" si="64"/>
        <v>708897362</v>
      </c>
      <c r="H152" s="159">
        <f t="shared" si="64"/>
        <v>708897362</v>
      </c>
      <c r="I152" s="159">
        <f t="shared" si="64"/>
        <v>708897362</v>
      </c>
      <c r="J152" s="159">
        <f t="shared" si="64"/>
        <v>708897362</v>
      </c>
      <c r="K152" s="159">
        <f t="shared" si="64"/>
        <v>708897362</v>
      </c>
      <c r="L152" s="159">
        <f t="shared" si="64"/>
        <v>708897362</v>
      </c>
      <c r="M152" s="159">
        <f t="shared" si="64"/>
        <v>708897362</v>
      </c>
      <c r="N152" s="159">
        <f t="shared" si="64"/>
        <v>708897362</v>
      </c>
    </row>
    <row r="153" spans="1:14" s="66" customFormat="1" ht="12" hidden="1">
      <c r="A153" s="64" t="s">
        <v>479</v>
      </c>
      <c r="B153" s="58" t="s">
        <v>118</v>
      </c>
      <c r="C153" s="59">
        <f>+C154+C155+C158+C159+C160+C161+C162+C163+C165</f>
        <v>502631798</v>
      </c>
      <c r="D153" s="65"/>
      <c r="E153" s="159">
        <f aca="true" t="shared" si="65" ref="E153:N153">+E154+E155+E158+E159+E160+E161+E162+E163+E165</f>
        <v>502631798</v>
      </c>
      <c r="F153" s="159">
        <f t="shared" si="65"/>
        <v>502631798</v>
      </c>
      <c r="G153" s="159">
        <f t="shared" si="65"/>
        <v>502631798</v>
      </c>
      <c r="H153" s="159">
        <f t="shared" si="65"/>
        <v>502631798</v>
      </c>
      <c r="I153" s="159">
        <f t="shared" si="65"/>
        <v>502631798</v>
      </c>
      <c r="J153" s="159">
        <f t="shared" si="65"/>
        <v>502631798</v>
      </c>
      <c r="K153" s="159">
        <f t="shared" si="65"/>
        <v>502631798</v>
      </c>
      <c r="L153" s="159">
        <f t="shared" si="65"/>
        <v>502631798</v>
      </c>
      <c r="M153" s="159">
        <f t="shared" si="65"/>
        <v>502631798</v>
      </c>
      <c r="N153" s="159">
        <f t="shared" si="65"/>
        <v>502631798</v>
      </c>
    </row>
    <row r="154" spans="1:14" s="61" customFormat="1" ht="12" hidden="1">
      <c r="A154" s="67" t="s">
        <v>480</v>
      </c>
      <c r="B154" s="68" t="s">
        <v>119</v>
      </c>
      <c r="C154" s="40">
        <v>369430317</v>
      </c>
      <c r="D154" s="63"/>
      <c r="E154" s="154">
        <v>369430317</v>
      </c>
      <c r="F154" s="154">
        <v>369430317</v>
      </c>
      <c r="G154" s="154">
        <v>369430317</v>
      </c>
      <c r="H154" s="154">
        <v>369430317</v>
      </c>
      <c r="I154" s="154">
        <v>369430317</v>
      </c>
      <c r="J154" s="154">
        <v>369430317</v>
      </c>
      <c r="K154" s="154">
        <v>369430317</v>
      </c>
      <c r="L154" s="154">
        <v>369430317</v>
      </c>
      <c r="M154" s="154">
        <v>369430317</v>
      </c>
      <c r="N154" s="154">
        <v>369430317</v>
      </c>
    </row>
    <row r="155" spans="1:14" s="61" customFormat="1" ht="12" hidden="1">
      <c r="A155" s="67" t="s">
        <v>481</v>
      </c>
      <c r="B155" s="68" t="s">
        <v>120</v>
      </c>
      <c r="C155" s="40">
        <f>+C156+C157</f>
        <v>47890228</v>
      </c>
      <c r="D155" s="63"/>
      <c r="E155" s="154">
        <f aca="true" t="shared" si="66" ref="E155:N155">+E156+E157</f>
        <v>47890228</v>
      </c>
      <c r="F155" s="154">
        <f t="shared" si="66"/>
        <v>47890228</v>
      </c>
      <c r="G155" s="154">
        <f t="shared" si="66"/>
        <v>47890228</v>
      </c>
      <c r="H155" s="154">
        <f t="shared" si="66"/>
        <v>47890228</v>
      </c>
      <c r="I155" s="154">
        <f t="shared" si="66"/>
        <v>47890228</v>
      </c>
      <c r="J155" s="154">
        <f t="shared" si="66"/>
        <v>47890228</v>
      </c>
      <c r="K155" s="154">
        <f t="shared" si="66"/>
        <v>47890228</v>
      </c>
      <c r="L155" s="154">
        <f t="shared" si="66"/>
        <v>47890228</v>
      </c>
      <c r="M155" s="154">
        <f t="shared" si="66"/>
        <v>47890228</v>
      </c>
      <c r="N155" s="154">
        <f t="shared" si="66"/>
        <v>47890228</v>
      </c>
    </row>
    <row r="156" spans="1:14" s="61" customFormat="1" ht="12" hidden="1">
      <c r="A156" s="67" t="s">
        <v>482</v>
      </c>
      <c r="B156" s="68" t="s">
        <v>137</v>
      </c>
      <c r="C156" s="40">
        <v>15735885</v>
      </c>
      <c r="D156" s="63"/>
      <c r="E156" s="154">
        <v>15735885</v>
      </c>
      <c r="F156" s="154">
        <v>15735885</v>
      </c>
      <c r="G156" s="154">
        <v>15735885</v>
      </c>
      <c r="H156" s="154">
        <v>15735885</v>
      </c>
      <c r="I156" s="154">
        <v>15735885</v>
      </c>
      <c r="J156" s="154">
        <v>15735885</v>
      </c>
      <c r="K156" s="154">
        <v>15735885</v>
      </c>
      <c r="L156" s="154">
        <v>15735885</v>
      </c>
      <c r="M156" s="154">
        <v>15735885</v>
      </c>
      <c r="N156" s="154">
        <v>15735885</v>
      </c>
    </row>
    <row r="157" spans="1:14" s="61" customFormat="1" ht="12" hidden="1">
      <c r="A157" s="67" t="s">
        <v>483</v>
      </c>
      <c r="B157" s="68" t="s">
        <v>138</v>
      </c>
      <c r="C157" s="40">
        <v>32154343</v>
      </c>
      <c r="D157" s="63"/>
      <c r="E157" s="154">
        <v>32154343</v>
      </c>
      <c r="F157" s="154">
        <v>32154343</v>
      </c>
      <c r="G157" s="154">
        <v>32154343</v>
      </c>
      <c r="H157" s="154">
        <v>32154343</v>
      </c>
      <c r="I157" s="154">
        <v>32154343</v>
      </c>
      <c r="J157" s="154">
        <v>32154343</v>
      </c>
      <c r="K157" s="154">
        <v>32154343</v>
      </c>
      <c r="L157" s="154">
        <v>32154343</v>
      </c>
      <c r="M157" s="154">
        <v>32154343</v>
      </c>
      <c r="N157" s="154">
        <v>32154343</v>
      </c>
    </row>
    <row r="158" spans="1:14" s="61" customFormat="1" ht="12" hidden="1">
      <c r="A158" s="67" t="s">
        <v>484</v>
      </c>
      <c r="B158" s="68" t="s">
        <v>121</v>
      </c>
      <c r="C158" s="40">
        <v>19932128</v>
      </c>
      <c r="D158" s="63"/>
      <c r="E158" s="154">
        <v>19932128</v>
      </c>
      <c r="F158" s="154">
        <v>19932128</v>
      </c>
      <c r="G158" s="154">
        <v>19932128</v>
      </c>
      <c r="H158" s="154">
        <v>19932128</v>
      </c>
      <c r="I158" s="154">
        <v>19932128</v>
      </c>
      <c r="J158" s="154">
        <v>19932128</v>
      </c>
      <c r="K158" s="154">
        <v>19932128</v>
      </c>
      <c r="L158" s="154">
        <v>19932128</v>
      </c>
      <c r="M158" s="154">
        <v>19932128</v>
      </c>
      <c r="N158" s="154">
        <v>19932128</v>
      </c>
    </row>
    <row r="159" spans="1:14" s="61" customFormat="1" ht="12" hidden="1">
      <c r="A159" s="67" t="s">
        <v>485</v>
      </c>
      <c r="B159" s="68" t="s">
        <v>122</v>
      </c>
      <c r="C159" s="40">
        <v>22815403</v>
      </c>
      <c r="D159" s="63"/>
      <c r="E159" s="154">
        <v>22815403</v>
      </c>
      <c r="F159" s="154">
        <v>22815403</v>
      </c>
      <c r="G159" s="154">
        <v>22815403</v>
      </c>
      <c r="H159" s="154">
        <v>22815403</v>
      </c>
      <c r="I159" s="154">
        <v>22815403</v>
      </c>
      <c r="J159" s="154">
        <v>22815403</v>
      </c>
      <c r="K159" s="154">
        <v>22815403</v>
      </c>
      <c r="L159" s="154">
        <v>22815403</v>
      </c>
      <c r="M159" s="154">
        <v>22815403</v>
      </c>
      <c r="N159" s="154">
        <v>22815403</v>
      </c>
    </row>
    <row r="160" spans="1:14" s="61" customFormat="1" ht="12" hidden="1">
      <c r="A160" s="67" t="s">
        <v>486</v>
      </c>
      <c r="B160" s="68" t="s">
        <v>123</v>
      </c>
      <c r="C160" s="40">
        <v>12280320</v>
      </c>
      <c r="D160" s="63"/>
      <c r="E160" s="154">
        <v>12280320</v>
      </c>
      <c r="F160" s="154">
        <v>12280320</v>
      </c>
      <c r="G160" s="154">
        <v>12280320</v>
      </c>
      <c r="H160" s="154">
        <v>12280320</v>
      </c>
      <c r="I160" s="154">
        <v>12280320</v>
      </c>
      <c r="J160" s="154">
        <v>12280320</v>
      </c>
      <c r="K160" s="154">
        <v>12280320</v>
      </c>
      <c r="L160" s="154">
        <v>12280320</v>
      </c>
      <c r="M160" s="154">
        <v>12280320</v>
      </c>
      <c r="N160" s="154">
        <v>12280320</v>
      </c>
    </row>
    <row r="161" spans="1:14" s="61" customFormat="1" ht="12" hidden="1">
      <c r="A161" s="67" t="s">
        <v>487</v>
      </c>
      <c r="B161" s="68" t="s">
        <v>124</v>
      </c>
      <c r="C161" s="40">
        <v>10000000</v>
      </c>
      <c r="D161" s="63"/>
      <c r="E161" s="154">
        <v>10000000</v>
      </c>
      <c r="F161" s="154">
        <v>10000000</v>
      </c>
      <c r="G161" s="154">
        <v>10000000</v>
      </c>
      <c r="H161" s="154">
        <v>10000000</v>
      </c>
      <c r="I161" s="154">
        <v>10000000</v>
      </c>
      <c r="J161" s="154">
        <v>10000000</v>
      </c>
      <c r="K161" s="154">
        <v>10000000</v>
      </c>
      <c r="L161" s="154">
        <v>10000000</v>
      </c>
      <c r="M161" s="154">
        <v>10000000</v>
      </c>
      <c r="N161" s="154">
        <v>10000000</v>
      </c>
    </row>
    <row r="162" spans="1:14" s="61" customFormat="1" ht="24" hidden="1">
      <c r="A162" s="67" t="s">
        <v>488</v>
      </c>
      <c r="B162" s="68" t="s">
        <v>125</v>
      </c>
      <c r="C162" s="40">
        <v>10000000</v>
      </c>
      <c r="D162" s="63"/>
      <c r="E162" s="154">
        <v>10000000</v>
      </c>
      <c r="F162" s="154">
        <v>10000000</v>
      </c>
      <c r="G162" s="154">
        <v>10000000</v>
      </c>
      <c r="H162" s="154">
        <v>10000000</v>
      </c>
      <c r="I162" s="154">
        <v>10000000</v>
      </c>
      <c r="J162" s="154">
        <v>10000000</v>
      </c>
      <c r="K162" s="154">
        <v>10000000</v>
      </c>
      <c r="L162" s="154">
        <v>10000000</v>
      </c>
      <c r="M162" s="154">
        <v>10000000</v>
      </c>
      <c r="N162" s="154">
        <v>10000000</v>
      </c>
    </row>
    <row r="163" spans="1:14" s="61" customFormat="1" ht="24" hidden="1">
      <c r="A163" s="67" t="s">
        <v>489</v>
      </c>
      <c r="B163" s="68" t="s">
        <v>126</v>
      </c>
      <c r="C163" s="40">
        <f>+C164</f>
        <v>8231009</v>
      </c>
      <c r="D163" s="63"/>
      <c r="E163" s="154">
        <f aca="true" t="shared" si="67" ref="E163:N163">+E164</f>
        <v>8231009</v>
      </c>
      <c r="F163" s="154">
        <f t="shared" si="67"/>
        <v>8231009</v>
      </c>
      <c r="G163" s="154">
        <f t="shared" si="67"/>
        <v>8231009</v>
      </c>
      <c r="H163" s="154">
        <f t="shared" si="67"/>
        <v>8231009</v>
      </c>
      <c r="I163" s="154">
        <f t="shared" si="67"/>
        <v>8231009</v>
      </c>
      <c r="J163" s="154">
        <f t="shared" si="67"/>
        <v>8231009</v>
      </c>
      <c r="K163" s="154">
        <f t="shared" si="67"/>
        <v>8231009</v>
      </c>
      <c r="L163" s="154">
        <f t="shared" si="67"/>
        <v>8231009</v>
      </c>
      <c r="M163" s="154">
        <f t="shared" si="67"/>
        <v>8231009</v>
      </c>
      <c r="N163" s="154">
        <f t="shared" si="67"/>
        <v>8231009</v>
      </c>
    </row>
    <row r="164" spans="1:14" s="61" customFormat="1" ht="12" hidden="1">
      <c r="A164" s="67" t="s">
        <v>490</v>
      </c>
      <c r="B164" s="68" t="s">
        <v>135</v>
      </c>
      <c r="C164" s="40">
        <v>8231009</v>
      </c>
      <c r="D164" s="63"/>
      <c r="E164" s="154">
        <v>8231009</v>
      </c>
      <c r="F164" s="154">
        <v>8231009</v>
      </c>
      <c r="G164" s="154">
        <v>8231009</v>
      </c>
      <c r="H164" s="154">
        <v>8231009</v>
      </c>
      <c r="I164" s="154">
        <v>8231009</v>
      </c>
      <c r="J164" s="154">
        <v>8231009</v>
      </c>
      <c r="K164" s="154">
        <v>8231009</v>
      </c>
      <c r="L164" s="154">
        <v>8231009</v>
      </c>
      <c r="M164" s="154">
        <v>8231009</v>
      </c>
      <c r="N164" s="154">
        <v>8231009</v>
      </c>
    </row>
    <row r="165" spans="1:14" s="61" customFormat="1" ht="12" hidden="1">
      <c r="A165" s="67" t="s">
        <v>491</v>
      </c>
      <c r="B165" s="68" t="s">
        <v>136</v>
      </c>
      <c r="C165" s="40">
        <v>2052393</v>
      </c>
      <c r="D165" s="63"/>
      <c r="E165" s="154">
        <v>2052393</v>
      </c>
      <c r="F165" s="154">
        <v>2052393</v>
      </c>
      <c r="G165" s="154">
        <v>2052393</v>
      </c>
      <c r="H165" s="154">
        <v>2052393</v>
      </c>
      <c r="I165" s="154">
        <v>2052393</v>
      </c>
      <c r="J165" s="154">
        <v>2052393</v>
      </c>
      <c r="K165" s="154">
        <v>2052393</v>
      </c>
      <c r="L165" s="154">
        <v>2052393</v>
      </c>
      <c r="M165" s="154">
        <v>2052393</v>
      </c>
      <c r="N165" s="154">
        <v>2052393</v>
      </c>
    </row>
    <row r="166" spans="1:14" s="66" customFormat="1" ht="12" hidden="1">
      <c r="A166" s="64" t="s">
        <v>492</v>
      </c>
      <c r="B166" s="58" t="s">
        <v>127</v>
      </c>
      <c r="C166" s="59">
        <f>+C167</f>
        <v>26840000</v>
      </c>
      <c r="D166" s="65"/>
      <c r="E166" s="159">
        <f aca="true" t="shared" si="68" ref="E166:N166">+E167</f>
        <v>26840000</v>
      </c>
      <c r="F166" s="159">
        <f t="shared" si="68"/>
        <v>26840000</v>
      </c>
      <c r="G166" s="159">
        <f t="shared" si="68"/>
        <v>26840000</v>
      </c>
      <c r="H166" s="159">
        <f t="shared" si="68"/>
        <v>26840000</v>
      </c>
      <c r="I166" s="159">
        <f t="shared" si="68"/>
        <v>26840000</v>
      </c>
      <c r="J166" s="159">
        <f t="shared" si="68"/>
        <v>26840000</v>
      </c>
      <c r="K166" s="159">
        <f t="shared" si="68"/>
        <v>26840000</v>
      </c>
      <c r="L166" s="159">
        <f t="shared" si="68"/>
        <v>26840000</v>
      </c>
      <c r="M166" s="159">
        <f t="shared" si="68"/>
        <v>26840000</v>
      </c>
      <c r="N166" s="159">
        <f t="shared" si="68"/>
        <v>26840000</v>
      </c>
    </row>
    <row r="167" spans="1:14" s="61" customFormat="1" ht="12" hidden="1">
      <c r="A167" s="67" t="s">
        <v>493</v>
      </c>
      <c r="B167" s="68" t="s">
        <v>115</v>
      </c>
      <c r="C167" s="40">
        <v>26840000</v>
      </c>
      <c r="D167" s="63"/>
      <c r="E167" s="154">
        <v>26840000</v>
      </c>
      <c r="F167" s="154">
        <v>26840000</v>
      </c>
      <c r="G167" s="154">
        <v>26840000</v>
      </c>
      <c r="H167" s="154">
        <v>26840000</v>
      </c>
      <c r="I167" s="154">
        <v>26840000</v>
      </c>
      <c r="J167" s="154">
        <v>26840000</v>
      </c>
      <c r="K167" s="154">
        <v>26840000</v>
      </c>
      <c r="L167" s="154">
        <v>26840000</v>
      </c>
      <c r="M167" s="154">
        <v>26840000</v>
      </c>
      <c r="N167" s="154">
        <v>26840000</v>
      </c>
    </row>
    <row r="168" spans="1:14" s="61" customFormat="1" ht="12" hidden="1">
      <c r="A168" s="64" t="s">
        <v>494</v>
      </c>
      <c r="B168" s="58" t="s">
        <v>111</v>
      </c>
      <c r="C168" s="59">
        <f>+C169+C178</f>
        <v>179425564</v>
      </c>
      <c r="D168" s="63"/>
      <c r="E168" s="159">
        <f aca="true" t="shared" si="69" ref="E168:N168">+E169+E178</f>
        <v>179425564</v>
      </c>
      <c r="F168" s="159">
        <f t="shared" si="69"/>
        <v>179425564</v>
      </c>
      <c r="G168" s="159">
        <f t="shared" si="69"/>
        <v>179425564</v>
      </c>
      <c r="H168" s="159">
        <f t="shared" si="69"/>
        <v>179425564</v>
      </c>
      <c r="I168" s="159">
        <f t="shared" si="69"/>
        <v>179425564</v>
      </c>
      <c r="J168" s="159">
        <f t="shared" si="69"/>
        <v>179425564</v>
      </c>
      <c r="K168" s="159">
        <f t="shared" si="69"/>
        <v>179425564</v>
      </c>
      <c r="L168" s="159">
        <f t="shared" si="69"/>
        <v>179425564</v>
      </c>
      <c r="M168" s="159">
        <f t="shared" si="69"/>
        <v>179425564</v>
      </c>
      <c r="N168" s="159">
        <f t="shared" si="69"/>
        <v>179425564</v>
      </c>
    </row>
    <row r="169" spans="1:14" s="61" customFormat="1" ht="12" hidden="1">
      <c r="A169" s="67" t="s">
        <v>495</v>
      </c>
      <c r="B169" s="68" t="s">
        <v>387</v>
      </c>
      <c r="C169" s="40">
        <f>+C170</f>
        <v>121536184</v>
      </c>
      <c r="D169" s="63"/>
      <c r="E169" s="154">
        <f aca="true" t="shared" si="70" ref="E169:N169">+E170</f>
        <v>121536184</v>
      </c>
      <c r="F169" s="154">
        <f t="shared" si="70"/>
        <v>121536184</v>
      </c>
      <c r="G169" s="154">
        <f t="shared" si="70"/>
        <v>121536184</v>
      </c>
      <c r="H169" s="154">
        <f t="shared" si="70"/>
        <v>121536184</v>
      </c>
      <c r="I169" s="154">
        <f t="shared" si="70"/>
        <v>121536184</v>
      </c>
      <c r="J169" s="154">
        <f t="shared" si="70"/>
        <v>121536184</v>
      </c>
      <c r="K169" s="154">
        <f t="shared" si="70"/>
        <v>121536184</v>
      </c>
      <c r="L169" s="154">
        <f t="shared" si="70"/>
        <v>121536184</v>
      </c>
      <c r="M169" s="154">
        <f t="shared" si="70"/>
        <v>121536184</v>
      </c>
      <c r="N169" s="154">
        <f t="shared" si="70"/>
        <v>121536184</v>
      </c>
    </row>
    <row r="170" spans="1:14" s="61" customFormat="1" ht="12" hidden="1">
      <c r="A170" s="67" t="s">
        <v>496</v>
      </c>
      <c r="B170" s="68" t="s">
        <v>128</v>
      </c>
      <c r="C170" s="40">
        <f>+C171+C174+C175+C176+C177</f>
        <v>121536184</v>
      </c>
      <c r="D170" s="63"/>
      <c r="E170" s="154">
        <f aca="true" t="shared" si="71" ref="E170:N170">+E171+E174+E175+E176+E177</f>
        <v>121536184</v>
      </c>
      <c r="F170" s="154">
        <f t="shared" si="71"/>
        <v>121536184</v>
      </c>
      <c r="G170" s="154">
        <f t="shared" si="71"/>
        <v>121536184</v>
      </c>
      <c r="H170" s="154">
        <f t="shared" si="71"/>
        <v>121536184</v>
      </c>
      <c r="I170" s="154">
        <f t="shared" si="71"/>
        <v>121536184</v>
      </c>
      <c r="J170" s="154">
        <f t="shared" si="71"/>
        <v>121536184</v>
      </c>
      <c r="K170" s="154">
        <f t="shared" si="71"/>
        <v>121536184</v>
      </c>
      <c r="L170" s="154">
        <f t="shared" si="71"/>
        <v>121536184</v>
      </c>
      <c r="M170" s="154">
        <f t="shared" si="71"/>
        <v>121536184</v>
      </c>
      <c r="N170" s="154">
        <f t="shared" si="71"/>
        <v>121536184</v>
      </c>
    </row>
    <row r="171" spans="1:14" s="61" customFormat="1" ht="12" hidden="1">
      <c r="A171" s="67" t="s">
        <v>497</v>
      </c>
      <c r="B171" s="68" t="s">
        <v>129</v>
      </c>
      <c r="C171" s="40">
        <f>+C172+C173</f>
        <v>42403160</v>
      </c>
      <c r="D171" s="63"/>
      <c r="E171" s="154">
        <f aca="true" t="shared" si="72" ref="E171:N171">+E172+E173</f>
        <v>42403160</v>
      </c>
      <c r="F171" s="154">
        <f t="shared" si="72"/>
        <v>42403160</v>
      </c>
      <c r="G171" s="154">
        <f t="shared" si="72"/>
        <v>42403160</v>
      </c>
      <c r="H171" s="154">
        <f t="shared" si="72"/>
        <v>42403160</v>
      </c>
      <c r="I171" s="154">
        <f t="shared" si="72"/>
        <v>42403160</v>
      </c>
      <c r="J171" s="154">
        <f t="shared" si="72"/>
        <v>42403160</v>
      </c>
      <c r="K171" s="154">
        <f t="shared" si="72"/>
        <v>42403160</v>
      </c>
      <c r="L171" s="154">
        <f t="shared" si="72"/>
        <v>42403160</v>
      </c>
      <c r="M171" s="154">
        <f t="shared" si="72"/>
        <v>42403160</v>
      </c>
      <c r="N171" s="154">
        <f t="shared" si="72"/>
        <v>42403160</v>
      </c>
    </row>
    <row r="172" spans="1:14" s="61" customFormat="1" ht="24" hidden="1">
      <c r="A172" s="67" t="s">
        <v>498</v>
      </c>
      <c r="B172" s="68" t="s">
        <v>139</v>
      </c>
      <c r="C172" s="40">
        <v>31403160</v>
      </c>
      <c r="D172" s="63"/>
      <c r="E172" s="154">
        <v>31403160</v>
      </c>
      <c r="F172" s="154">
        <v>31403160</v>
      </c>
      <c r="G172" s="154">
        <v>31403160</v>
      </c>
      <c r="H172" s="154">
        <v>31403160</v>
      </c>
      <c r="I172" s="154">
        <v>31403160</v>
      </c>
      <c r="J172" s="154">
        <v>31403160</v>
      </c>
      <c r="K172" s="154">
        <v>31403160</v>
      </c>
      <c r="L172" s="154">
        <v>31403160</v>
      </c>
      <c r="M172" s="154">
        <v>31403160</v>
      </c>
      <c r="N172" s="154">
        <v>31403160</v>
      </c>
    </row>
    <row r="173" spans="1:14" s="61" customFormat="1" ht="24" hidden="1">
      <c r="A173" s="67" t="s">
        <v>499</v>
      </c>
      <c r="B173" s="68" t="s">
        <v>140</v>
      </c>
      <c r="C173" s="40">
        <v>11000000</v>
      </c>
      <c r="D173" s="63"/>
      <c r="E173" s="154">
        <v>11000000</v>
      </c>
      <c r="F173" s="154">
        <v>11000000</v>
      </c>
      <c r="G173" s="154">
        <v>11000000</v>
      </c>
      <c r="H173" s="154">
        <v>11000000</v>
      </c>
      <c r="I173" s="154">
        <v>11000000</v>
      </c>
      <c r="J173" s="154">
        <v>11000000</v>
      </c>
      <c r="K173" s="154">
        <v>11000000</v>
      </c>
      <c r="L173" s="154">
        <v>11000000</v>
      </c>
      <c r="M173" s="154">
        <v>11000000</v>
      </c>
      <c r="N173" s="154">
        <v>11000000</v>
      </c>
    </row>
    <row r="174" spans="1:14" s="61" customFormat="1" ht="12" hidden="1">
      <c r="A174" s="67" t="s">
        <v>500</v>
      </c>
      <c r="B174" s="68" t="s">
        <v>130</v>
      </c>
      <c r="C174" s="40">
        <v>44333880</v>
      </c>
      <c r="D174" s="63"/>
      <c r="E174" s="154">
        <v>44333880</v>
      </c>
      <c r="F174" s="154">
        <v>44333880</v>
      </c>
      <c r="G174" s="154">
        <v>44333880</v>
      </c>
      <c r="H174" s="154">
        <v>44333880</v>
      </c>
      <c r="I174" s="154">
        <v>44333880</v>
      </c>
      <c r="J174" s="154">
        <v>44333880</v>
      </c>
      <c r="K174" s="154">
        <v>44333880</v>
      </c>
      <c r="L174" s="154">
        <v>44333880</v>
      </c>
      <c r="M174" s="154">
        <v>44333880</v>
      </c>
      <c r="N174" s="154">
        <v>44333880</v>
      </c>
    </row>
    <row r="175" spans="1:14" s="61" customFormat="1" ht="12" hidden="1">
      <c r="A175" s="67" t="s">
        <v>501</v>
      </c>
      <c r="B175" s="68" t="s">
        <v>131</v>
      </c>
      <c r="C175" s="40">
        <v>1928436</v>
      </c>
      <c r="D175" s="63"/>
      <c r="E175" s="154">
        <v>1928436</v>
      </c>
      <c r="F175" s="154">
        <v>1928436</v>
      </c>
      <c r="G175" s="154">
        <v>1928436</v>
      </c>
      <c r="H175" s="154">
        <v>1928436</v>
      </c>
      <c r="I175" s="154">
        <v>1928436</v>
      </c>
      <c r="J175" s="154">
        <v>1928436</v>
      </c>
      <c r="K175" s="154">
        <v>1928436</v>
      </c>
      <c r="L175" s="154">
        <v>1928436</v>
      </c>
      <c r="M175" s="154">
        <v>1928436</v>
      </c>
      <c r="N175" s="154">
        <v>1928436</v>
      </c>
    </row>
    <row r="176" spans="1:14" s="61" customFormat="1" ht="12" hidden="1">
      <c r="A176" s="67" t="s">
        <v>502</v>
      </c>
      <c r="B176" s="68" t="s">
        <v>132</v>
      </c>
      <c r="C176" s="40">
        <v>30864308</v>
      </c>
      <c r="D176" s="63"/>
      <c r="E176" s="154">
        <v>30864308</v>
      </c>
      <c r="F176" s="154">
        <v>30864308</v>
      </c>
      <c r="G176" s="154">
        <v>30864308</v>
      </c>
      <c r="H176" s="154">
        <v>30864308</v>
      </c>
      <c r="I176" s="154">
        <v>30864308</v>
      </c>
      <c r="J176" s="154">
        <v>30864308</v>
      </c>
      <c r="K176" s="154">
        <v>30864308</v>
      </c>
      <c r="L176" s="154">
        <v>30864308</v>
      </c>
      <c r="M176" s="154">
        <v>30864308</v>
      </c>
      <c r="N176" s="154">
        <v>30864308</v>
      </c>
    </row>
    <row r="177" spans="1:14" s="61" customFormat="1" ht="12" hidden="1">
      <c r="A177" s="67" t="s">
        <v>503</v>
      </c>
      <c r="B177" s="68" t="s">
        <v>148</v>
      </c>
      <c r="C177" s="40">
        <v>2006400</v>
      </c>
      <c r="D177" s="63"/>
      <c r="E177" s="154">
        <v>2006400</v>
      </c>
      <c r="F177" s="154">
        <v>2006400</v>
      </c>
      <c r="G177" s="154">
        <v>2006400</v>
      </c>
      <c r="H177" s="154">
        <v>2006400</v>
      </c>
      <c r="I177" s="154">
        <v>2006400</v>
      </c>
      <c r="J177" s="154">
        <v>2006400</v>
      </c>
      <c r="K177" s="154">
        <v>2006400</v>
      </c>
      <c r="L177" s="154">
        <v>2006400</v>
      </c>
      <c r="M177" s="154">
        <v>2006400</v>
      </c>
      <c r="N177" s="154">
        <v>2006400</v>
      </c>
    </row>
    <row r="178" spans="1:14" s="61" customFormat="1" ht="12" hidden="1">
      <c r="A178" s="67" t="s">
        <v>504</v>
      </c>
      <c r="B178" s="68" t="s">
        <v>201</v>
      </c>
      <c r="C178" s="40">
        <f>SUM(C179:C183)</f>
        <v>57889380</v>
      </c>
      <c r="D178" s="63"/>
      <c r="E178" s="154">
        <f aca="true" t="shared" si="73" ref="E178:N178">SUM(E179:E183)</f>
        <v>57889380</v>
      </c>
      <c r="F178" s="154">
        <f t="shared" si="73"/>
        <v>57889380</v>
      </c>
      <c r="G178" s="154">
        <f t="shared" si="73"/>
        <v>57889380</v>
      </c>
      <c r="H178" s="154">
        <f t="shared" si="73"/>
        <v>57889380</v>
      </c>
      <c r="I178" s="154">
        <f t="shared" si="73"/>
        <v>57889380</v>
      </c>
      <c r="J178" s="154">
        <f t="shared" si="73"/>
        <v>57889380</v>
      </c>
      <c r="K178" s="154">
        <f t="shared" si="73"/>
        <v>57889380</v>
      </c>
      <c r="L178" s="154">
        <f t="shared" si="73"/>
        <v>57889380</v>
      </c>
      <c r="M178" s="154">
        <f t="shared" si="73"/>
        <v>57889380</v>
      </c>
      <c r="N178" s="154">
        <f t="shared" si="73"/>
        <v>57889380</v>
      </c>
    </row>
    <row r="179" spans="1:14" s="61" customFormat="1" ht="12" hidden="1">
      <c r="A179" s="67" t="s">
        <v>505</v>
      </c>
      <c r="B179" s="68" t="s">
        <v>202</v>
      </c>
      <c r="C179" s="40">
        <v>3216120</v>
      </c>
      <c r="D179" s="63"/>
      <c r="E179" s="154">
        <v>3216120</v>
      </c>
      <c r="F179" s="154">
        <v>3216120</v>
      </c>
      <c r="G179" s="154">
        <v>3216120</v>
      </c>
      <c r="H179" s="154">
        <v>3216120</v>
      </c>
      <c r="I179" s="154">
        <v>3216120</v>
      </c>
      <c r="J179" s="154">
        <v>3216120</v>
      </c>
      <c r="K179" s="154">
        <v>3216120</v>
      </c>
      <c r="L179" s="154">
        <v>3216120</v>
      </c>
      <c r="M179" s="154">
        <v>3216120</v>
      </c>
      <c r="N179" s="154">
        <v>3216120</v>
      </c>
    </row>
    <row r="180" spans="1:14" s="61" customFormat="1" ht="12" hidden="1">
      <c r="A180" s="67" t="s">
        <v>506</v>
      </c>
      <c r="B180" s="68" t="s">
        <v>203</v>
      </c>
      <c r="C180" s="40">
        <v>19296408</v>
      </c>
      <c r="D180" s="63"/>
      <c r="E180" s="154">
        <v>19296408</v>
      </c>
      <c r="F180" s="154">
        <v>19296408</v>
      </c>
      <c r="G180" s="154">
        <v>19296408</v>
      </c>
      <c r="H180" s="154">
        <v>19296408</v>
      </c>
      <c r="I180" s="154">
        <v>19296408</v>
      </c>
      <c r="J180" s="154">
        <v>19296408</v>
      </c>
      <c r="K180" s="154">
        <v>19296408</v>
      </c>
      <c r="L180" s="154">
        <v>19296408</v>
      </c>
      <c r="M180" s="154">
        <v>19296408</v>
      </c>
      <c r="N180" s="154">
        <v>19296408</v>
      </c>
    </row>
    <row r="181" spans="1:14" s="61" customFormat="1" ht="12" hidden="1">
      <c r="A181" s="67" t="s">
        <v>507</v>
      </c>
      <c r="B181" s="68" t="s">
        <v>204</v>
      </c>
      <c r="C181" s="40">
        <v>3216120</v>
      </c>
      <c r="D181" s="63"/>
      <c r="E181" s="154">
        <v>3216120</v>
      </c>
      <c r="F181" s="154">
        <v>3216120</v>
      </c>
      <c r="G181" s="154">
        <v>3216120</v>
      </c>
      <c r="H181" s="154">
        <v>3216120</v>
      </c>
      <c r="I181" s="154">
        <v>3216120</v>
      </c>
      <c r="J181" s="154">
        <v>3216120</v>
      </c>
      <c r="K181" s="154">
        <v>3216120</v>
      </c>
      <c r="L181" s="154">
        <v>3216120</v>
      </c>
      <c r="M181" s="154">
        <v>3216120</v>
      </c>
      <c r="N181" s="154">
        <v>3216120</v>
      </c>
    </row>
    <row r="182" spans="1:14" s="61" customFormat="1" ht="12" hidden="1">
      <c r="A182" s="67" t="s">
        <v>508</v>
      </c>
      <c r="B182" s="68" t="s">
        <v>205</v>
      </c>
      <c r="C182" s="40">
        <v>25728636</v>
      </c>
      <c r="D182" s="63"/>
      <c r="E182" s="154">
        <v>25728636</v>
      </c>
      <c r="F182" s="154">
        <v>25728636</v>
      </c>
      <c r="G182" s="154">
        <v>25728636</v>
      </c>
      <c r="H182" s="154">
        <v>25728636</v>
      </c>
      <c r="I182" s="154">
        <v>25728636</v>
      </c>
      <c r="J182" s="154">
        <v>25728636</v>
      </c>
      <c r="K182" s="154">
        <v>25728636</v>
      </c>
      <c r="L182" s="154">
        <v>25728636</v>
      </c>
      <c r="M182" s="154">
        <v>25728636</v>
      </c>
      <c r="N182" s="154">
        <v>25728636</v>
      </c>
    </row>
    <row r="183" spans="1:14" s="61" customFormat="1" ht="12" hidden="1">
      <c r="A183" s="67" t="s">
        <v>509</v>
      </c>
      <c r="B183" s="68" t="s">
        <v>206</v>
      </c>
      <c r="C183" s="40">
        <v>6432096</v>
      </c>
      <c r="D183" s="63"/>
      <c r="E183" s="154">
        <v>6432096</v>
      </c>
      <c r="F183" s="154">
        <v>6432096</v>
      </c>
      <c r="G183" s="154">
        <v>6432096</v>
      </c>
      <c r="H183" s="154">
        <v>6432096</v>
      </c>
      <c r="I183" s="154">
        <v>6432096</v>
      </c>
      <c r="J183" s="154">
        <v>6432096</v>
      </c>
      <c r="K183" s="154">
        <v>6432096</v>
      </c>
      <c r="L183" s="154">
        <v>6432096</v>
      </c>
      <c r="M183" s="154">
        <v>6432096</v>
      </c>
      <c r="N183" s="154">
        <v>6432096</v>
      </c>
    </row>
    <row r="184" spans="1:14" s="66" customFormat="1" ht="12" hidden="1">
      <c r="A184" s="64" t="s">
        <v>510</v>
      </c>
      <c r="B184" s="58" t="s">
        <v>113</v>
      </c>
      <c r="C184" s="59">
        <f>+C185+C188+C203</f>
        <v>168415201</v>
      </c>
      <c r="D184" s="65"/>
      <c r="E184" s="159">
        <f aca="true" t="shared" si="74" ref="E184:N184">+E185+E188+E203</f>
        <v>168415201</v>
      </c>
      <c r="F184" s="159">
        <f t="shared" si="74"/>
        <v>168415201</v>
      </c>
      <c r="G184" s="159">
        <f t="shared" si="74"/>
        <v>168415201</v>
      </c>
      <c r="H184" s="159">
        <f t="shared" si="74"/>
        <v>168415201</v>
      </c>
      <c r="I184" s="159">
        <f t="shared" si="74"/>
        <v>168415201</v>
      </c>
      <c r="J184" s="159">
        <f t="shared" si="74"/>
        <v>168415201</v>
      </c>
      <c r="K184" s="159">
        <f t="shared" si="74"/>
        <v>168415201</v>
      </c>
      <c r="L184" s="159">
        <f t="shared" si="74"/>
        <v>168415201</v>
      </c>
      <c r="M184" s="159">
        <f t="shared" si="74"/>
        <v>168415201</v>
      </c>
      <c r="N184" s="159">
        <f t="shared" si="74"/>
        <v>168415201</v>
      </c>
    </row>
    <row r="185" spans="1:14" s="61" customFormat="1" ht="12" hidden="1">
      <c r="A185" s="67" t="s">
        <v>511</v>
      </c>
      <c r="B185" s="68" t="s">
        <v>207</v>
      </c>
      <c r="C185" s="40">
        <f>+C186+C187</f>
        <v>26700000</v>
      </c>
      <c r="D185" s="63"/>
      <c r="E185" s="154">
        <f aca="true" t="shared" si="75" ref="E185:N185">+E186+E187</f>
        <v>26700000</v>
      </c>
      <c r="F185" s="154">
        <f t="shared" si="75"/>
        <v>26700000</v>
      </c>
      <c r="G185" s="154">
        <f t="shared" si="75"/>
        <v>26700000</v>
      </c>
      <c r="H185" s="154">
        <f t="shared" si="75"/>
        <v>26700000</v>
      </c>
      <c r="I185" s="154">
        <f t="shared" si="75"/>
        <v>26700000</v>
      </c>
      <c r="J185" s="154">
        <f t="shared" si="75"/>
        <v>26700000</v>
      </c>
      <c r="K185" s="154">
        <f t="shared" si="75"/>
        <v>26700000</v>
      </c>
      <c r="L185" s="154">
        <f t="shared" si="75"/>
        <v>26700000</v>
      </c>
      <c r="M185" s="154">
        <f t="shared" si="75"/>
        <v>26700000</v>
      </c>
      <c r="N185" s="154">
        <f t="shared" si="75"/>
        <v>26700000</v>
      </c>
    </row>
    <row r="186" spans="1:14" s="61" customFormat="1" ht="12" hidden="1">
      <c r="A186" s="67" t="s">
        <v>512</v>
      </c>
      <c r="B186" s="68" t="s">
        <v>208</v>
      </c>
      <c r="C186" s="40">
        <v>6700000</v>
      </c>
      <c r="D186" s="63"/>
      <c r="E186" s="154">
        <v>6700000</v>
      </c>
      <c r="F186" s="154">
        <v>6700000</v>
      </c>
      <c r="G186" s="154">
        <v>6700000</v>
      </c>
      <c r="H186" s="154">
        <v>6700000</v>
      </c>
      <c r="I186" s="154">
        <v>6700000</v>
      </c>
      <c r="J186" s="154">
        <v>6700000</v>
      </c>
      <c r="K186" s="154">
        <v>6700000</v>
      </c>
      <c r="L186" s="154">
        <v>6700000</v>
      </c>
      <c r="M186" s="154">
        <v>6700000</v>
      </c>
      <c r="N186" s="154">
        <v>6700000</v>
      </c>
    </row>
    <row r="187" spans="1:14" s="61" customFormat="1" ht="12" hidden="1">
      <c r="A187" s="67" t="s">
        <v>513</v>
      </c>
      <c r="B187" s="68" t="s">
        <v>209</v>
      </c>
      <c r="C187" s="40">
        <v>20000000</v>
      </c>
      <c r="D187" s="63"/>
      <c r="E187" s="154">
        <v>20000000</v>
      </c>
      <c r="F187" s="154">
        <v>20000000</v>
      </c>
      <c r="G187" s="154">
        <v>20000000</v>
      </c>
      <c r="H187" s="154">
        <v>20000000</v>
      </c>
      <c r="I187" s="154">
        <v>20000000</v>
      </c>
      <c r="J187" s="154">
        <v>20000000</v>
      </c>
      <c r="K187" s="154">
        <v>20000000</v>
      </c>
      <c r="L187" s="154">
        <v>20000000</v>
      </c>
      <c r="M187" s="154">
        <v>20000000</v>
      </c>
      <c r="N187" s="154">
        <v>20000000</v>
      </c>
    </row>
    <row r="188" spans="1:14" s="61" customFormat="1" ht="12" hidden="1">
      <c r="A188" s="67" t="s">
        <v>514</v>
      </c>
      <c r="B188" s="68" t="s">
        <v>210</v>
      </c>
      <c r="C188" s="40">
        <f>+C189+C190+C191+C192+C193+C194+C195+C196</f>
        <v>131715201</v>
      </c>
      <c r="D188" s="63"/>
      <c r="E188" s="154">
        <f aca="true" t="shared" si="76" ref="E188:N188">+E189+E190+E191+E192+E193+E194+E195+E196</f>
        <v>131715201</v>
      </c>
      <c r="F188" s="154">
        <f t="shared" si="76"/>
        <v>131715201</v>
      </c>
      <c r="G188" s="154">
        <f t="shared" si="76"/>
        <v>131715201</v>
      </c>
      <c r="H188" s="154">
        <f t="shared" si="76"/>
        <v>131715201</v>
      </c>
      <c r="I188" s="154">
        <f t="shared" si="76"/>
        <v>131715201</v>
      </c>
      <c r="J188" s="154">
        <f t="shared" si="76"/>
        <v>131715201</v>
      </c>
      <c r="K188" s="154">
        <f t="shared" si="76"/>
        <v>131715201</v>
      </c>
      <c r="L188" s="154">
        <f t="shared" si="76"/>
        <v>131715201</v>
      </c>
      <c r="M188" s="154">
        <f t="shared" si="76"/>
        <v>131715201</v>
      </c>
      <c r="N188" s="154">
        <f t="shared" si="76"/>
        <v>131715201</v>
      </c>
    </row>
    <row r="189" spans="1:14" s="61" customFormat="1" ht="12" hidden="1">
      <c r="A189" s="67" t="s">
        <v>515</v>
      </c>
      <c r="B189" s="68" t="s">
        <v>211</v>
      </c>
      <c r="C189" s="40">
        <v>1000000</v>
      </c>
      <c r="D189" s="63"/>
      <c r="E189" s="154">
        <v>1000000</v>
      </c>
      <c r="F189" s="154">
        <v>1000000</v>
      </c>
      <c r="G189" s="154">
        <v>1000000</v>
      </c>
      <c r="H189" s="154">
        <v>1000000</v>
      </c>
      <c r="I189" s="154">
        <v>1000000</v>
      </c>
      <c r="J189" s="154">
        <v>1000000</v>
      </c>
      <c r="K189" s="154">
        <v>1000000</v>
      </c>
      <c r="L189" s="154">
        <v>1000000</v>
      </c>
      <c r="M189" s="154">
        <v>1000000</v>
      </c>
      <c r="N189" s="154">
        <v>1000000</v>
      </c>
    </row>
    <row r="190" spans="1:14" s="61" customFormat="1" ht="12" hidden="1">
      <c r="A190" s="67" t="s">
        <v>516</v>
      </c>
      <c r="B190" s="68" t="s">
        <v>212</v>
      </c>
      <c r="C190" s="40">
        <v>1000000</v>
      </c>
      <c r="D190" s="63"/>
      <c r="E190" s="154">
        <v>1000000</v>
      </c>
      <c r="F190" s="154">
        <v>1000000</v>
      </c>
      <c r="G190" s="154">
        <v>1000000</v>
      </c>
      <c r="H190" s="154">
        <v>1000000</v>
      </c>
      <c r="I190" s="154">
        <v>1000000</v>
      </c>
      <c r="J190" s="154">
        <v>1000000</v>
      </c>
      <c r="K190" s="154">
        <v>1000000</v>
      </c>
      <c r="L190" s="154">
        <v>1000000</v>
      </c>
      <c r="M190" s="154">
        <v>1000000</v>
      </c>
      <c r="N190" s="154">
        <v>1000000</v>
      </c>
    </row>
    <row r="191" spans="1:14" s="61" customFormat="1" ht="12" hidden="1">
      <c r="A191" s="67" t="s">
        <v>517</v>
      </c>
      <c r="B191" s="68" t="s">
        <v>213</v>
      </c>
      <c r="C191" s="40">
        <v>18000000</v>
      </c>
      <c r="D191" s="63"/>
      <c r="E191" s="154">
        <v>18000000</v>
      </c>
      <c r="F191" s="154">
        <v>18000000</v>
      </c>
      <c r="G191" s="154">
        <v>18000000</v>
      </c>
      <c r="H191" s="154">
        <v>18000000</v>
      </c>
      <c r="I191" s="154">
        <v>18000000</v>
      </c>
      <c r="J191" s="154">
        <v>18000000</v>
      </c>
      <c r="K191" s="154">
        <v>18000000</v>
      </c>
      <c r="L191" s="154">
        <v>18000000</v>
      </c>
      <c r="M191" s="154">
        <v>18000000</v>
      </c>
      <c r="N191" s="154">
        <v>18000000</v>
      </c>
    </row>
    <row r="192" spans="1:14" s="61" customFormat="1" ht="12" hidden="1">
      <c r="A192" s="67" t="s">
        <v>518</v>
      </c>
      <c r="B192" s="68" t="s">
        <v>114</v>
      </c>
      <c r="C192" s="40">
        <v>7000000</v>
      </c>
      <c r="D192" s="63"/>
      <c r="E192" s="154">
        <v>7000000</v>
      </c>
      <c r="F192" s="154">
        <v>7000000</v>
      </c>
      <c r="G192" s="154">
        <v>7000000</v>
      </c>
      <c r="H192" s="154">
        <v>7000000</v>
      </c>
      <c r="I192" s="154">
        <v>7000000</v>
      </c>
      <c r="J192" s="154">
        <v>7000000</v>
      </c>
      <c r="K192" s="154">
        <v>7000000</v>
      </c>
      <c r="L192" s="154">
        <v>7000000</v>
      </c>
      <c r="M192" s="154">
        <v>7000000</v>
      </c>
      <c r="N192" s="154">
        <v>7000000</v>
      </c>
    </row>
    <row r="193" spans="1:14" s="61" customFormat="1" ht="12" hidden="1">
      <c r="A193" s="67" t="s">
        <v>519</v>
      </c>
      <c r="B193" s="68" t="s">
        <v>214</v>
      </c>
      <c r="C193" s="40">
        <v>20000000</v>
      </c>
      <c r="D193" s="63"/>
      <c r="E193" s="154">
        <v>20000000</v>
      </c>
      <c r="F193" s="154">
        <v>20000000</v>
      </c>
      <c r="G193" s="154">
        <v>20000000</v>
      </c>
      <c r="H193" s="154">
        <v>20000000</v>
      </c>
      <c r="I193" s="154">
        <v>20000000</v>
      </c>
      <c r="J193" s="154">
        <v>20000000</v>
      </c>
      <c r="K193" s="154">
        <v>20000000</v>
      </c>
      <c r="L193" s="154">
        <v>20000000</v>
      </c>
      <c r="M193" s="154">
        <v>20000000</v>
      </c>
      <c r="N193" s="154">
        <v>20000000</v>
      </c>
    </row>
    <row r="194" spans="1:14" s="61" customFormat="1" ht="12" hidden="1">
      <c r="A194" s="67" t="s">
        <v>520</v>
      </c>
      <c r="B194" s="68" t="s">
        <v>215</v>
      </c>
      <c r="C194" s="40">
        <v>20000000</v>
      </c>
      <c r="D194" s="63"/>
      <c r="E194" s="154">
        <v>20000000</v>
      </c>
      <c r="F194" s="154">
        <v>20000000</v>
      </c>
      <c r="G194" s="154">
        <v>20000000</v>
      </c>
      <c r="H194" s="154">
        <v>20000000</v>
      </c>
      <c r="I194" s="154">
        <v>20000000</v>
      </c>
      <c r="J194" s="154">
        <v>20000000</v>
      </c>
      <c r="K194" s="154">
        <v>20000000</v>
      </c>
      <c r="L194" s="154">
        <v>20000000</v>
      </c>
      <c r="M194" s="154">
        <v>20000000</v>
      </c>
      <c r="N194" s="154">
        <v>20000000</v>
      </c>
    </row>
    <row r="195" spans="1:14" s="61" customFormat="1" ht="12" hidden="1">
      <c r="A195" s="67" t="s">
        <v>521</v>
      </c>
      <c r="B195" s="68" t="s">
        <v>216</v>
      </c>
      <c r="C195" s="40">
        <v>1000</v>
      </c>
      <c r="D195" s="63"/>
      <c r="E195" s="154">
        <v>1000</v>
      </c>
      <c r="F195" s="154">
        <v>1000</v>
      </c>
      <c r="G195" s="154">
        <v>1000</v>
      </c>
      <c r="H195" s="154">
        <v>1000</v>
      </c>
      <c r="I195" s="154">
        <v>1000</v>
      </c>
      <c r="J195" s="154">
        <v>1000</v>
      </c>
      <c r="K195" s="154">
        <v>1000</v>
      </c>
      <c r="L195" s="154">
        <v>1000</v>
      </c>
      <c r="M195" s="154">
        <v>1000</v>
      </c>
      <c r="N195" s="154">
        <v>1000</v>
      </c>
    </row>
    <row r="196" spans="1:14" s="61" customFormat="1" ht="12" hidden="1">
      <c r="A196" s="67" t="s">
        <v>522</v>
      </c>
      <c r="B196" s="68" t="s">
        <v>217</v>
      </c>
      <c r="C196" s="40">
        <f>SUM(C197:C202)</f>
        <v>64714201</v>
      </c>
      <c r="D196" s="63"/>
      <c r="E196" s="154">
        <f aca="true" t="shared" si="77" ref="E196:N196">SUM(E197:E202)</f>
        <v>64714201</v>
      </c>
      <c r="F196" s="154">
        <f t="shared" si="77"/>
        <v>64714201</v>
      </c>
      <c r="G196" s="154">
        <f t="shared" si="77"/>
        <v>64714201</v>
      </c>
      <c r="H196" s="154">
        <f t="shared" si="77"/>
        <v>64714201</v>
      </c>
      <c r="I196" s="154">
        <f t="shared" si="77"/>
        <v>64714201</v>
      </c>
      <c r="J196" s="154">
        <f t="shared" si="77"/>
        <v>64714201</v>
      </c>
      <c r="K196" s="154">
        <f t="shared" si="77"/>
        <v>64714201</v>
      </c>
      <c r="L196" s="154">
        <f t="shared" si="77"/>
        <v>64714201</v>
      </c>
      <c r="M196" s="154">
        <f t="shared" si="77"/>
        <v>64714201</v>
      </c>
      <c r="N196" s="154">
        <f t="shared" si="77"/>
        <v>64714201</v>
      </c>
    </row>
    <row r="197" spans="1:14" s="61" customFormat="1" ht="12" hidden="1">
      <c r="A197" s="67" t="s">
        <v>523</v>
      </c>
      <c r="B197" s="68" t="s">
        <v>149</v>
      </c>
      <c r="C197" s="40">
        <v>12000000</v>
      </c>
      <c r="D197" s="63"/>
      <c r="E197" s="154">
        <v>12000000</v>
      </c>
      <c r="F197" s="154">
        <v>12000000</v>
      </c>
      <c r="G197" s="154">
        <v>12000000</v>
      </c>
      <c r="H197" s="154">
        <v>12000000</v>
      </c>
      <c r="I197" s="154">
        <v>12000000</v>
      </c>
      <c r="J197" s="154">
        <v>12000000</v>
      </c>
      <c r="K197" s="154">
        <v>12000000</v>
      </c>
      <c r="L197" s="154">
        <v>12000000</v>
      </c>
      <c r="M197" s="154">
        <v>12000000</v>
      </c>
      <c r="N197" s="154">
        <v>12000000</v>
      </c>
    </row>
    <row r="198" spans="1:14" s="61" customFormat="1" ht="12" hidden="1">
      <c r="A198" s="67" t="s">
        <v>524</v>
      </c>
      <c r="B198" s="68" t="s">
        <v>150</v>
      </c>
      <c r="C198" s="40">
        <v>15000000</v>
      </c>
      <c r="D198" s="63"/>
      <c r="E198" s="154">
        <v>15000000</v>
      </c>
      <c r="F198" s="154">
        <v>15000000</v>
      </c>
      <c r="G198" s="154">
        <v>15000000</v>
      </c>
      <c r="H198" s="154">
        <v>15000000</v>
      </c>
      <c r="I198" s="154">
        <v>15000000</v>
      </c>
      <c r="J198" s="154">
        <v>15000000</v>
      </c>
      <c r="K198" s="154">
        <v>15000000</v>
      </c>
      <c r="L198" s="154">
        <v>15000000</v>
      </c>
      <c r="M198" s="154">
        <v>15000000</v>
      </c>
      <c r="N198" s="154">
        <v>15000000</v>
      </c>
    </row>
    <row r="199" spans="1:14" s="61" customFormat="1" ht="12" hidden="1">
      <c r="A199" s="67" t="s">
        <v>525</v>
      </c>
      <c r="B199" s="68" t="s">
        <v>151</v>
      </c>
      <c r="C199" s="40">
        <v>15714201</v>
      </c>
      <c r="D199" s="63"/>
      <c r="E199" s="154">
        <v>15714201</v>
      </c>
      <c r="F199" s="154">
        <v>15714201</v>
      </c>
      <c r="G199" s="154">
        <v>15714201</v>
      </c>
      <c r="H199" s="154">
        <v>15714201</v>
      </c>
      <c r="I199" s="154">
        <v>15714201</v>
      </c>
      <c r="J199" s="154">
        <v>15714201</v>
      </c>
      <c r="K199" s="154">
        <v>15714201</v>
      </c>
      <c r="L199" s="154">
        <v>15714201</v>
      </c>
      <c r="M199" s="154">
        <v>15714201</v>
      </c>
      <c r="N199" s="154">
        <v>15714201</v>
      </c>
    </row>
    <row r="200" spans="1:14" s="61" customFormat="1" ht="12" hidden="1">
      <c r="A200" s="67" t="s">
        <v>526</v>
      </c>
      <c r="B200" s="68" t="s">
        <v>152</v>
      </c>
      <c r="C200" s="40">
        <v>4000000</v>
      </c>
      <c r="D200" s="63"/>
      <c r="E200" s="154">
        <v>4000000</v>
      </c>
      <c r="F200" s="154">
        <v>4000000</v>
      </c>
      <c r="G200" s="154">
        <v>4000000</v>
      </c>
      <c r="H200" s="154">
        <v>4000000</v>
      </c>
      <c r="I200" s="154">
        <v>4000000</v>
      </c>
      <c r="J200" s="154">
        <v>4000000</v>
      </c>
      <c r="K200" s="154">
        <v>4000000</v>
      </c>
      <c r="L200" s="154">
        <v>4000000</v>
      </c>
      <c r="M200" s="154">
        <v>4000000</v>
      </c>
      <c r="N200" s="154">
        <v>4000000</v>
      </c>
    </row>
    <row r="201" spans="1:14" s="61" customFormat="1" ht="12" hidden="1">
      <c r="A201" s="67" t="s">
        <v>527</v>
      </c>
      <c r="B201" s="68" t="s">
        <v>153</v>
      </c>
      <c r="C201" s="40">
        <v>15000000</v>
      </c>
      <c r="D201" s="63"/>
      <c r="E201" s="154">
        <v>15000000</v>
      </c>
      <c r="F201" s="154">
        <v>15000000</v>
      </c>
      <c r="G201" s="154">
        <v>15000000</v>
      </c>
      <c r="H201" s="154">
        <v>15000000</v>
      </c>
      <c r="I201" s="154">
        <v>15000000</v>
      </c>
      <c r="J201" s="154">
        <v>15000000</v>
      </c>
      <c r="K201" s="154">
        <v>15000000</v>
      </c>
      <c r="L201" s="154">
        <v>15000000</v>
      </c>
      <c r="M201" s="154">
        <v>15000000</v>
      </c>
      <c r="N201" s="154">
        <v>15000000</v>
      </c>
    </row>
    <row r="202" spans="1:14" s="61" customFormat="1" ht="12" hidden="1">
      <c r="A202" s="67" t="s">
        <v>528</v>
      </c>
      <c r="B202" s="68" t="s">
        <v>154</v>
      </c>
      <c r="C202" s="40">
        <v>3000000</v>
      </c>
      <c r="D202" s="63"/>
      <c r="E202" s="154">
        <v>3000000</v>
      </c>
      <c r="F202" s="154">
        <v>3000000</v>
      </c>
      <c r="G202" s="154">
        <v>3000000</v>
      </c>
      <c r="H202" s="154">
        <v>3000000</v>
      </c>
      <c r="I202" s="154">
        <v>3000000</v>
      </c>
      <c r="J202" s="154">
        <v>3000000</v>
      </c>
      <c r="K202" s="154">
        <v>3000000</v>
      </c>
      <c r="L202" s="154">
        <v>3000000</v>
      </c>
      <c r="M202" s="154">
        <v>3000000</v>
      </c>
      <c r="N202" s="154">
        <v>3000000</v>
      </c>
    </row>
    <row r="203" spans="1:14" s="61" customFormat="1" ht="12" hidden="1">
      <c r="A203" s="67" t="s">
        <v>529</v>
      </c>
      <c r="B203" s="68" t="s">
        <v>218</v>
      </c>
      <c r="C203" s="40">
        <f>+C204</f>
        <v>10000000</v>
      </c>
      <c r="D203" s="63"/>
      <c r="E203" s="154">
        <f aca="true" t="shared" si="78" ref="E203:N203">+E204</f>
        <v>10000000</v>
      </c>
      <c r="F203" s="154">
        <f t="shared" si="78"/>
        <v>10000000</v>
      </c>
      <c r="G203" s="154">
        <f t="shared" si="78"/>
        <v>10000000</v>
      </c>
      <c r="H203" s="154">
        <f t="shared" si="78"/>
        <v>10000000</v>
      </c>
      <c r="I203" s="154">
        <f t="shared" si="78"/>
        <v>10000000</v>
      </c>
      <c r="J203" s="154">
        <f t="shared" si="78"/>
        <v>10000000</v>
      </c>
      <c r="K203" s="154">
        <f t="shared" si="78"/>
        <v>10000000</v>
      </c>
      <c r="L203" s="154">
        <f t="shared" si="78"/>
        <v>10000000</v>
      </c>
      <c r="M203" s="154">
        <f t="shared" si="78"/>
        <v>10000000</v>
      </c>
      <c r="N203" s="154">
        <f t="shared" si="78"/>
        <v>10000000</v>
      </c>
    </row>
    <row r="204" spans="1:14" s="66" customFormat="1" ht="12" hidden="1">
      <c r="A204" s="67" t="s">
        <v>530</v>
      </c>
      <c r="B204" s="68" t="s">
        <v>155</v>
      </c>
      <c r="C204" s="40">
        <v>10000000</v>
      </c>
      <c r="D204" s="65"/>
      <c r="E204" s="154">
        <v>10000000</v>
      </c>
      <c r="F204" s="154">
        <v>10000000</v>
      </c>
      <c r="G204" s="154">
        <v>10000000</v>
      </c>
      <c r="H204" s="154">
        <v>10000000</v>
      </c>
      <c r="I204" s="154">
        <v>10000000</v>
      </c>
      <c r="J204" s="154">
        <v>10000000</v>
      </c>
      <c r="K204" s="154">
        <v>10000000</v>
      </c>
      <c r="L204" s="154">
        <v>10000000</v>
      </c>
      <c r="M204" s="154">
        <v>10000000</v>
      </c>
      <c r="N204" s="154">
        <v>10000000</v>
      </c>
    </row>
    <row r="205" spans="1:14" s="61" customFormat="1" ht="12" hidden="1">
      <c r="A205" s="67" t="s">
        <v>531</v>
      </c>
      <c r="B205" s="68" t="s">
        <v>219</v>
      </c>
      <c r="C205" s="40">
        <f>+C206+C207+C208+C209+C210</f>
        <v>103527312</v>
      </c>
      <c r="D205" s="63"/>
      <c r="E205" s="154">
        <f aca="true" t="shared" si="79" ref="E205:N205">+E206+E207+E208+E209+E210</f>
        <v>103527312</v>
      </c>
      <c r="F205" s="154">
        <f t="shared" si="79"/>
        <v>103527312</v>
      </c>
      <c r="G205" s="154">
        <f t="shared" si="79"/>
        <v>103527312</v>
      </c>
      <c r="H205" s="154">
        <f t="shared" si="79"/>
        <v>103527312</v>
      </c>
      <c r="I205" s="154">
        <f t="shared" si="79"/>
        <v>103527312</v>
      </c>
      <c r="J205" s="154">
        <f t="shared" si="79"/>
        <v>103527312</v>
      </c>
      <c r="K205" s="154">
        <f t="shared" si="79"/>
        <v>103527312</v>
      </c>
      <c r="L205" s="154">
        <f t="shared" si="79"/>
        <v>103527312</v>
      </c>
      <c r="M205" s="154">
        <f t="shared" si="79"/>
        <v>103527312</v>
      </c>
      <c r="N205" s="154">
        <f t="shared" si="79"/>
        <v>103527312</v>
      </c>
    </row>
    <row r="206" spans="1:14" s="61" customFormat="1" ht="12" hidden="1">
      <c r="A206" s="67" t="s">
        <v>532</v>
      </c>
      <c r="B206" s="68" t="s">
        <v>220</v>
      </c>
      <c r="C206" s="40">
        <v>31343312</v>
      </c>
      <c r="D206" s="63"/>
      <c r="E206" s="154">
        <v>31343312</v>
      </c>
      <c r="F206" s="154">
        <v>31343312</v>
      </c>
      <c r="G206" s="154">
        <v>31343312</v>
      </c>
      <c r="H206" s="154">
        <v>31343312</v>
      </c>
      <c r="I206" s="154">
        <v>31343312</v>
      </c>
      <c r="J206" s="154">
        <v>31343312</v>
      </c>
      <c r="K206" s="154">
        <v>31343312</v>
      </c>
      <c r="L206" s="154">
        <v>31343312</v>
      </c>
      <c r="M206" s="154">
        <v>31343312</v>
      </c>
      <c r="N206" s="154">
        <v>31343312</v>
      </c>
    </row>
    <row r="207" spans="1:14" s="61" customFormat="1" ht="24" hidden="1">
      <c r="A207" s="67" t="s">
        <v>533</v>
      </c>
      <c r="B207" s="68" t="s">
        <v>221</v>
      </c>
      <c r="C207" s="40">
        <v>44241000</v>
      </c>
      <c r="D207" s="63"/>
      <c r="E207" s="154">
        <v>44241000</v>
      </c>
      <c r="F207" s="154">
        <v>44241000</v>
      </c>
      <c r="G207" s="154">
        <v>44241000</v>
      </c>
      <c r="H207" s="154">
        <v>44241000</v>
      </c>
      <c r="I207" s="154">
        <v>44241000</v>
      </c>
      <c r="J207" s="154">
        <v>44241000</v>
      </c>
      <c r="K207" s="154">
        <v>44241000</v>
      </c>
      <c r="L207" s="154">
        <v>44241000</v>
      </c>
      <c r="M207" s="154">
        <v>44241000</v>
      </c>
      <c r="N207" s="154">
        <v>44241000</v>
      </c>
    </row>
    <row r="208" spans="1:14" s="61" customFormat="1" ht="36" hidden="1">
      <c r="A208" s="67" t="s">
        <v>534</v>
      </c>
      <c r="B208" s="68" t="s">
        <v>222</v>
      </c>
      <c r="C208" s="36">
        <v>6500000</v>
      </c>
      <c r="D208" s="63"/>
      <c r="E208" s="153">
        <v>6500000</v>
      </c>
      <c r="F208" s="153">
        <v>6500000</v>
      </c>
      <c r="G208" s="153">
        <v>6500000</v>
      </c>
      <c r="H208" s="153">
        <v>6500000</v>
      </c>
      <c r="I208" s="153">
        <v>6500000</v>
      </c>
      <c r="J208" s="153">
        <v>6500000</v>
      </c>
      <c r="K208" s="153">
        <v>6500000</v>
      </c>
      <c r="L208" s="153">
        <v>6500000</v>
      </c>
      <c r="M208" s="153">
        <v>6500000</v>
      </c>
      <c r="N208" s="153">
        <v>6500000</v>
      </c>
    </row>
    <row r="209" spans="1:14" s="61" customFormat="1" ht="12" hidden="1">
      <c r="A209" s="67" t="s">
        <v>535</v>
      </c>
      <c r="B209" s="68" t="s">
        <v>323</v>
      </c>
      <c r="C209" s="40">
        <v>11443000</v>
      </c>
      <c r="D209" s="63"/>
      <c r="E209" s="154">
        <v>11443000</v>
      </c>
      <c r="F209" s="154">
        <v>11443000</v>
      </c>
      <c r="G209" s="154">
        <v>11443000</v>
      </c>
      <c r="H209" s="154">
        <v>11443000</v>
      </c>
      <c r="I209" s="154">
        <v>11443000</v>
      </c>
      <c r="J209" s="154">
        <v>11443000</v>
      </c>
      <c r="K209" s="154">
        <v>11443000</v>
      </c>
      <c r="L209" s="154">
        <v>11443000</v>
      </c>
      <c r="M209" s="154">
        <v>11443000</v>
      </c>
      <c r="N209" s="154">
        <v>11443000</v>
      </c>
    </row>
    <row r="210" spans="1:14" s="61" customFormat="1" ht="12" hidden="1">
      <c r="A210" s="67" t="s">
        <v>536</v>
      </c>
      <c r="B210" s="68" t="s">
        <v>223</v>
      </c>
      <c r="C210" s="40">
        <v>10000000</v>
      </c>
      <c r="D210" s="63"/>
      <c r="E210" s="154">
        <v>10000000</v>
      </c>
      <c r="F210" s="154">
        <v>10000000</v>
      </c>
      <c r="G210" s="154">
        <v>10000000</v>
      </c>
      <c r="H210" s="154">
        <v>10000000</v>
      </c>
      <c r="I210" s="154">
        <v>10000000</v>
      </c>
      <c r="J210" s="154">
        <v>10000000</v>
      </c>
      <c r="K210" s="154">
        <v>10000000</v>
      </c>
      <c r="L210" s="154">
        <v>10000000</v>
      </c>
      <c r="M210" s="154">
        <v>10000000</v>
      </c>
      <c r="N210" s="154">
        <v>10000000</v>
      </c>
    </row>
    <row r="211" spans="3:14" s="61" customFormat="1" ht="12">
      <c r="C211" s="62"/>
      <c r="D211" s="63"/>
      <c r="E211" s="160"/>
      <c r="F211" s="160"/>
      <c r="G211" s="160"/>
      <c r="H211" s="160"/>
      <c r="I211" s="160"/>
      <c r="J211" s="160"/>
      <c r="K211" s="160"/>
      <c r="L211" s="160"/>
      <c r="M211" s="160"/>
      <c r="N211" s="160"/>
    </row>
    <row r="212" spans="1:14" s="61" customFormat="1" ht="12">
      <c r="A212" s="69"/>
      <c r="B212" s="58" t="s">
        <v>617</v>
      </c>
      <c r="C212" s="59">
        <f>+C213+C303+C313+C340+C374</f>
        <v>14496834205.003334</v>
      </c>
      <c r="D212" s="63"/>
      <c r="E212" s="159">
        <f aca="true" t="shared" si="80" ref="E212:N212">+E213+E303+E313+E340+E374</f>
        <v>19411521000</v>
      </c>
      <c r="F212" s="159">
        <f t="shared" si="80"/>
        <v>20187981840</v>
      </c>
      <c r="G212" s="159">
        <f t="shared" si="80"/>
        <v>20697806386</v>
      </c>
      <c r="H212" s="159">
        <f t="shared" si="80"/>
        <v>21220376545.649994</v>
      </c>
      <c r="I212" s="159">
        <f t="shared" si="80"/>
        <v>21756010959.291245</v>
      </c>
      <c r="J212" s="159">
        <f t="shared" si="80"/>
        <v>22510036233.273525</v>
      </c>
      <c r="K212" s="159">
        <f t="shared" si="80"/>
        <v>23072787139.10536</v>
      </c>
      <c r="L212" s="159">
        <f t="shared" si="80"/>
        <v>23649606817.582993</v>
      </c>
      <c r="M212" s="159">
        <f t="shared" si="80"/>
        <v>24240846988.022564</v>
      </c>
      <c r="N212" s="159">
        <f t="shared" si="80"/>
        <v>24846868162.72313</v>
      </c>
    </row>
    <row r="213" spans="1:14" s="61" customFormat="1" ht="12">
      <c r="A213" s="69" t="s">
        <v>44</v>
      </c>
      <c r="B213" s="58" t="s">
        <v>193</v>
      </c>
      <c r="C213" s="59">
        <f>+C214+C224+C228+C246+C252+C258+C295+C299</f>
        <v>3995499677.003333</v>
      </c>
      <c r="D213" s="63"/>
      <c r="E213" s="159">
        <f aca="true" t="shared" si="81" ref="E213:N213">+E214+E224+E228+E246+E252+E258+E295+E299</f>
        <v>10173750000</v>
      </c>
      <c r="F213" s="159">
        <f t="shared" si="81"/>
        <v>10580700000</v>
      </c>
      <c r="G213" s="159">
        <f t="shared" si="81"/>
        <v>10845217499.999998</v>
      </c>
      <c r="H213" s="159">
        <f t="shared" si="81"/>
        <v>11116347937.499998</v>
      </c>
      <c r="I213" s="159">
        <f t="shared" si="81"/>
        <v>11394256635.937496</v>
      </c>
      <c r="J213" s="159">
        <f t="shared" si="81"/>
        <v>11679113051.835934</v>
      </c>
      <c r="K213" s="159">
        <f t="shared" si="81"/>
        <v>11971090878.131828</v>
      </c>
      <c r="L213" s="159">
        <f t="shared" si="81"/>
        <v>12270368150.085127</v>
      </c>
      <c r="M213" s="159">
        <f t="shared" si="81"/>
        <v>12577127353.837254</v>
      </c>
      <c r="N213" s="159">
        <f t="shared" si="81"/>
        <v>12891555537.683182</v>
      </c>
    </row>
    <row r="214" spans="1:14" s="66" customFormat="1" ht="12">
      <c r="A214" s="69" t="s">
        <v>45</v>
      </c>
      <c r="B214" s="58" t="s">
        <v>100</v>
      </c>
      <c r="C214" s="59">
        <f>+C215+C223</f>
        <v>1170253252</v>
      </c>
      <c r="D214" s="70"/>
      <c r="E214" s="159">
        <f>603000000+560000000</f>
        <v>1163000000</v>
      </c>
      <c r="F214" s="152">
        <f aca="true" t="shared" si="82" ref="F214:F275">+E214*1.04</f>
        <v>1209520000</v>
      </c>
      <c r="G214" s="152">
        <f aca="true" t="shared" si="83" ref="G214:N214">+F214*1.025</f>
        <v>1239758000</v>
      </c>
      <c r="H214" s="152">
        <f t="shared" si="83"/>
        <v>1270751950</v>
      </c>
      <c r="I214" s="152">
        <f t="shared" si="83"/>
        <v>1302520748.75</v>
      </c>
      <c r="J214" s="152">
        <f t="shared" si="83"/>
        <v>1335083767.46875</v>
      </c>
      <c r="K214" s="152">
        <f t="shared" si="83"/>
        <v>1368460861.6554687</v>
      </c>
      <c r="L214" s="152">
        <f t="shared" si="83"/>
        <v>1402672383.1968553</v>
      </c>
      <c r="M214" s="152">
        <f t="shared" si="83"/>
        <v>1437739192.7767766</v>
      </c>
      <c r="N214" s="152">
        <f t="shared" si="83"/>
        <v>1473682672.596196</v>
      </c>
    </row>
    <row r="215" spans="1:14" s="61" customFormat="1" ht="12" hidden="1">
      <c r="A215" s="57" t="s">
        <v>46</v>
      </c>
      <c r="B215" s="68" t="s">
        <v>400</v>
      </c>
      <c r="C215" s="40">
        <f>+C216+C217+C218+C219+C220+C221+C222</f>
        <v>1170252252</v>
      </c>
      <c r="D215" s="63"/>
      <c r="E215" s="154">
        <f>+E216+E217+E218+E219+E220+E221+E222</f>
        <v>1170252252</v>
      </c>
      <c r="F215" s="152">
        <f t="shared" si="82"/>
        <v>1217062342.08</v>
      </c>
      <c r="G215" s="152">
        <f aca="true" t="shared" si="84" ref="G215:G246">+F215*1.025</f>
        <v>1247488900.6319997</v>
      </c>
      <c r="H215" s="154" t="e">
        <f aca="true" t="shared" si="85" ref="H215:N215">+H216+H217+H218+H219+H220+H221+H222</f>
        <v>#REF!</v>
      </c>
      <c r="I215" s="154" t="e">
        <f t="shared" si="85"/>
        <v>#REF!</v>
      </c>
      <c r="J215" s="154" t="e">
        <f t="shared" si="85"/>
        <v>#REF!</v>
      </c>
      <c r="K215" s="154" t="e">
        <f t="shared" si="85"/>
        <v>#REF!</v>
      </c>
      <c r="L215" s="154" t="e">
        <f t="shared" si="85"/>
        <v>#REF!</v>
      </c>
      <c r="M215" s="154" t="e">
        <f t="shared" si="85"/>
        <v>#REF!</v>
      </c>
      <c r="N215" s="154" t="e">
        <f t="shared" si="85"/>
        <v>#REF!</v>
      </c>
    </row>
    <row r="216" spans="1:14" s="61" customFormat="1" ht="24" hidden="1">
      <c r="A216" s="67" t="s">
        <v>47</v>
      </c>
      <c r="B216" s="68" t="s">
        <v>401</v>
      </c>
      <c r="C216" s="40">
        <v>95151890</v>
      </c>
      <c r="D216" s="65">
        <v>1.04</v>
      </c>
      <c r="E216" s="154">
        <v>95151890</v>
      </c>
      <c r="F216" s="152">
        <f t="shared" si="82"/>
        <v>98957965.60000001</v>
      </c>
      <c r="G216" s="152">
        <f t="shared" si="84"/>
        <v>101431914.74</v>
      </c>
      <c r="H216" s="159" t="e">
        <f>+G216*#REF!</f>
        <v>#REF!</v>
      </c>
      <c r="I216" s="159" t="e">
        <f>+H216*#REF!</f>
        <v>#REF!</v>
      </c>
      <c r="J216" s="159" t="e">
        <f>+I216*#REF!</f>
        <v>#REF!</v>
      </c>
      <c r="K216" s="159" t="e">
        <f>+J216*#REF!</f>
        <v>#REF!</v>
      </c>
      <c r="L216" s="159" t="e">
        <f>+K216*#REF!</f>
        <v>#REF!</v>
      </c>
      <c r="M216" s="159" t="e">
        <f>+L216*#REF!</f>
        <v>#REF!</v>
      </c>
      <c r="N216" s="159" t="e">
        <f>+M216*#REF!</f>
        <v>#REF!</v>
      </c>
    </row>
    <row r="217" spans="1:14" s="61" customFormat="1" ht="24" hidden="1">
      <c r="A217" s="67" t="s">
        <v>48</v>
      </c>
      <c r="B217" s="68" t="s">
        <v>402</v>
      </c>
      <c r="C217" s="40">
        <v>412670362</v>
      </c>
      <c r="D217" s="65">
        <v>1.04</v>
      </c>
      <c r="E217" s="154">
        <v>412670362</v>
      </c>
      <c r="F217" s="152">
        <f t="shared" si="82"/>
        <v>429177176.48</v>
      </c>
      <c r="G217" s="152">
        <f t="shared" si="84"/>
        <v>439906605.89199996</v>
      </c>
      <c r="H217" s="159" t="e">
        <f>+G217*#REF!</f>
        <v>#REF!</v>
      </c>
      <c r="I217" s="159" t="e">
        <f>+H217*#REF!</f>
        <v>#REF!</v>
      </c>
      <c r="J217" s="159" t="e">
        <f>+I217*#REF!</f>
        <v>#REF!</v>
      </c>
      <c r="K217" s="159" t="e">
        <f>+J217*#REF!</f>
        <v>#REF!</v>
      </c>
      <c r="L217" s="159" t="e">
        <f>+K217*#REF!</f>
        <v>#REF!</v>
      </c>
      <c r="M217" s="159" t="e">
        <f>+L217*#REF!</f>
        <v>#REF!</v>
      </c>
      <c r="N217" s="159" t="e">
        <f>+M217*#REF!</f>
        <v>#REF!</v>
      </c>
    </row>
    <row r="218" spans="1:14" s="61" customFormat="1" ht="24" hidden="1">
      <c r="A218" s="67" t="s">
        <v>49</v>
      </c>
      <c r="B218" s="68" t="s">
        <v>403</v>
      </c>
      <c r="C218" s="40">
        <v>116000000</v>
      </c>
      <c r="D218" s="65">
        <v>1.04</v>
      </c>
      <c r="E218" s="154">
        <v>116000000</v>
      </c>
      <c r="F218" s="152">
        <f t="shared" si="82"/>
        <v>120640000</v>
      </c>
      <c r="G218" s="152">
        <f t="shared" si="84"/>
        <v>123655999.99999999</v>
      </c>
      <c r="H218" s="159" t="e">
        <f>+G218*#REF!</f>
        <v>#REF!</v>
      </c>
      <c r="I218" s="159" t="e">
        <f>+H218*#REF!</f>
        <v>#REF!</v>
      </c>
      <c r="J218" s="159" t="e">
        <f>+I218*#REF!</f>
        <v>#REF!</v>
      </c>
      <c r="K218" s="159" t="e">
        <f>+J218*#REF!</f>
        <v>#REF!</v>
      </c>
      <c r="L218" s="159" t="e">
        <f>+K218*#REF!</f>
        <v>#REF!</v>
      </c>
      <c r="M218" s="159" t="e">
        <f>+L218*#REF!</f>
        <v>#REF!</v>
      </c>
      <c r="N218" s="159" t="e">
        <f>+M218*#REF!</f>
        <v>#REF!</v>
      </c>
    </row>
    <row r="219" spans="1:14" s="61" customFormat="1" ht="36" hidden="1">
      <c r="A219" s="67" t="s">
        <v>50</v>
      </c>
      <c r="B219" s="68" t="s">
        <v>404</v>
      </c>
      <c r="C219" s="40">
        <v>160000000</v>
      </c>
      <c r="D219" s="65">
        <v>1.04</v>
      </c>
      <c r="E219" s="154">
        <v>160000000</v>
      </c>
      <c r="F219" s="152">
        <f t="shared" si="82"/>
        <v>166400000</v>
      </c>
      <c r="G219" s="152">
        <f t="shared" si="84"/>
        <v>170560000</v>
      </c>
      <c r="H219" s="159" t="e">
        <f>+G219*#REF!</f>
        <v>#REF!</v>
      </c>
      <c r="I219" s="159" t="e">
        <f>+H219*#REF!</f>
        <v>#REF!</v>
      </c>
      <c r="J219" s="159" t="e">
        <f>+I219*#REF!</f>
        <v>#REF!</v>
      </c>
      <c r="K219" s="159" t="e">
        <f>+J219*#REF!</f>
        <v>#REF!</v>
      </c>
      <c r="L219" s="159" t="e">
        <f>+K219*#REF!</f>
        <v>#REF!</v>
      </c>
      <c r="M219" s="159" t="e">
        <f>+L219*#REF!</f>
        <v>#REF!</v>
      </c>
      <c r="N219" s="159" t="e">
        <f>+M219*#REF!</f>
        <v>#REF!</v>
      </c>
    </row>
    <row r="220" spans="1:14" s="61" customFormat="1" ht="24" hidden="1">
      <c r="A220" s="67" t="s">
        <v>51</v>
      </c>
      <c r="B220" s="68" t="s">
        <v>405</v>
      </c>
      <c r="C220" s="40">
        <v>60000000</v>
      </c>
      <c r="D220" s="65">
        <v>1.04</v>
      </c>
      <c r="E220" s="154">
        <v>60000000</v>
      </c>
      <c r="F220" s="152">
        <f t="shared" si="82"/>
        <v>62400000</v>
      </c>
      <c r="G220" s="152">
        <f t="shared" si="84"/>
        <v>63959999.99999999</v>
      </c>
      <c r="H220" s="159" t="e">
        <f>+G220*#REF!</f>
        <v>#REF!</v>
      </c>
      <c r="I220" s="159" t="e">
        <f>+H220*#REF!</f>
        <v>#REF!</v>
      </c>
      <c r="J220" s="159" t="e">
        <f>+I220*#REF!</f>
        <v>#REF!</v>
      </c>
      <c r="K220" s="159" t="e">
        <f>+J220*#REF!</f>
        <v>#REF!</v>
      </c>
      <c r="L220" s="159" t="e">
        <f>+K220*#REF!</f>
        <v>#REF!</v>
      </c>
      <c r="M220" s="159" t="e">
        <f>+L220*#REF!</f>
        <v>#REF!</v>
      </c>
      <c r="N220" s="159" t="e">
        <f>+M220*#REF!</f>
        <v>#REF!</v>
      </c>
    </row>
    <row r="221" spans="1:14" s="61" customFormat="1" ht="12" hidden="1">
      <c r="A221" s="67" t="s">
        <v>52</v>
      </c>
      <c r="B221" s="68" t="s">
        <v>406</v>
      </c>
      <c r="C221" s="40">
        <v>114000000</v>
      </c>
      <c r="D221" s="65">
        <v>1.04</v>
      </c>
      <c r="E221" s="154">
        <v>114000000</v>
      </c>
      <c r="F221" s="152">
        <f t="shared" si="82"/>
        <v>118560000</v>
      </c>
      <c r="G221" s="152">
        <f t="shared" si="84"/>
        <v>121523999.99999999</v>
      </c>
      <c r="H221" s="159" t="e">
        <f>+G221*#REF!</f>
        <v>#REF!</v>
      </c>
      <c r="I221" s="159" t="e">
        <f>+H221*#REF!</f>
        <v>#REF!</v>
      </c>
      <c r="J221" s="159" t="e">
        <f>+I221*#REF!</f>
        <v>#REF!</v>
      </c>
      <c r="K221" s="159" t="e">
        <f>+J221*#REF!</f>
        <v>#REF!</v>
      </c>
      <c r="L221" s="159" t="e">
        <f>+K221*#REF!</f>
        <v>#REF!</v>
      </c>
      <c r="M221" s="159" t="e">
        <f>+L221*#REF!</f>
        <v>#REF!</v>
      </c>
      <c r="N221" s="159" t="e">
        <f>+M221*#REF!</f>
        <v>#REF!</v>
      </c>
    </row>
    <row r="222" spans="1:14" s="61" customFormat="1" ht="12" hidden="1">
      <c r="A222" s="67" t="s">
        <v>90</v>
      </c>
      <c r="B222" s="71" t="s">
        <v>91</v>
      </c>
      <c r="C222" s="40">
        <v>212430000</v>
      </c>
      <c r="D222" s="65">
        <v>1.04</v>
      </c>
      <c r="E222" s="154">
        <v>212430000</v>
      </c>
      <c r="F222" s="152">
        <f t="shared" si="82"/>
        <v>220927200</v>
      </c>
      <c r="G222" s="152">
        <f t="shared" si="84"/>
        <v>226450379.99999997</v>
      </c>
      <c r="H222" s="159" t="e">
        <f>+G222*#REF!</f>
        <v>#REF!</v>
      </c>
      <c r="I222" s="159" t="e">
        <f>+H222*#REF!</f>
        <v>#REF!</v>
      </c>
      <c r="J222" s="159" t="e">
        <f>+I222*#REF!</f>
        <v>#REF!</v>
      </c>
      <c r="K222" s="159" t="e">
        <f>+J222*#REF!</f>
        <v>#REF!</v>
      </c>
      <c r="L222" s="159" t="e">
        <f>+K222*#REF!</f>
        <v>#REF!</v>
      </c>
      <c r="M222" s="159" t="e">
        <f>+L222*#REF!</f>
        <v>#REF!</v>
      </c>
      <c r="N222" s="159" t="e">
        <f>+M222*#REF!</f>
        <v>#REF!</v>
      </c>
    </row>
    <row r="223" spans="1:14" s="61" customFormat="1" ht="24" hidden="1">
      <c r="A223" s="67" t="s">
        <v>53</v>
      </c>
      <c r="B223" s="68" t="s">
        <v>410</v>
      </c>
      <c r="C223" s="40">
        <v>1000</v>
      </c>
      <c r="D223" s="65">
        <v>1.04</v>
      </c>
      <c r="E223" s="154">
        <v>1000</v>
      </c>
      <c r="F223" s="152">
        <f t="shared" si="82"/>
        <v>1040</v>
      </c>
      <c r="G223" s="152">
        <f t="shared" si="84"/>
        <v>1066</v>
      </c>
      <c r="H223" s="159" t="e">
        <f>+G223*#REF!</f>
        <v>#REF!</v>
      </c>
      <c r="I223" s="159" t="e">
        <f>+H223*#REF!</f>
        <v>#REF!</v>
      </c>
      <c r="J223" s="159" t="e">
        <f>+I223*#REF!</f>
        <v>#REF!</v>
      </c>
      <c r="K223" s="159" t="e">
        <f>+J223*#REF!</f>
        <v>#REF!</v>
      </c>
      <c r="L223" s="159" t="e">
        <f>+K223*#REF!</f>
        <v>#REF!</v>
      </c>
      <c r="M223" s="159" t="e">
        <f>+L223*#REF!</f>
        <v>#REF!</v>
      </c>
      <c r="N223" s="159" t="e">
        <f>+M223*#REF!</f>
        <v>#REF!</v>
      </c>
    </row>
    <row r="224" spans="1:14" s="66" customFormat="1" ht="12">
      <c r="A224" s="64" t="s">
        <v>54</v>
      </c>
      <c r="B224" s="58" t="s">
        <v>99</v>
      </c>
      <c r="C224" s="59">
        <f>+C225+C227</f>
        <v>178148349</v>
      </c>
      <c r="D224" s="65"/>
      <c r="E224" s="159">
        <v>6381000000</v>
      </c>
      <c r="F224" s="152">
        <f t="shared" si="82"/>
        <v>6636240000</v>
      </c>
      <c r="G224" s="152">
        <f t="shared" si="84"/>
        <v>6802145999.999999</v>
      </c>
      <c r="H224" s="152">
        <f aca="true" t="shared" si="86" ref="H224:N224">+G224*1.025</f>
        <v>6972199649.999998</v>
      </c>
      <c r="I224" s="152">
        <f t="shared" si="86"/>
        <v>7146504641.249997</v>
      </c>
      <c r="J224" s="152">
        <f t="shared" si="86"/>
        <v>7325167257.281246</v>
      </c>
      <c r="K224" s="152">
        <f t="shared" si="86"/>
        <v>7508296438.713277</v>
      </c>
      <c r="L224" s="152">
        <f t="shared" si="86"/>
        <v>7696003849.681108</v>
      </c>
      <c r="M224" s="152">
        <f t="shared" si="86"/>
        <v>7888403945.923136</v>
      </c>
      <c r="N224" s="152">
        <f t="shared" si="86"/>
        <v>8085614044.571214</v>
      </c>
    </row>
    <row r="225" spans="1:14" s="61" customFormat="1" ht="12" hidden="1">
      <c r="A225" s="67" t="s">
        <v>55</v>
      </c>
      <c r="B225" s="68" t="s">
        <v>413</v>
      </c>
      <c r="C225" s="40">
        <f>+C226</f>
        <v>178147349</v>
      </c>
      <c r="D225" s="63"/>
      <c r="E225" s="154">
        <f>+E226</f>
        <v>178147349</v>
      </c>
      <c r="F225" s="152">
        <f t="shared" si="82"/>
        <v>185273242.96</v>
      </c>
      <c r="G225" s="152">
        <f t="shared" si="84"/>
        <v>189905074.03399998</v>
      </c>
      <c r="H225" s="154" t="e">
        <f aca="true" t="shared" si="87" ref="H225:N225">+H226</f>
        <v>#REF!</v>
      </c>
      <c r="I225" s="154" t="e">
        <f t="shared" si="87"/>
        <v>#REF!</v>
      </c>
      <c r="J225" s="154" t="e">
        <f t="shared" si="87"/>
        <v>#REF!</v>
      </c>
      <c r="K225" s="154" t="e">
        <f t="shared" si="87"/>
        <v>#REF!</v>
      </c>
      <c r="L225" s="154" t="e">
        <f t="shared" si="87"/>
        <v>#REF!</v>
      </c>
      <c r="M225" s="154" t="e">
        <f t="shared" si="87"/>
        <v>#REF!</v>
      </c>
      <c r="N225" s="154" t="e">
        <f t="shared" si="87"/>
        <v>#REF!</v>
      </c>
    </row>
    <row r="226" spans="1:14" s="61" customFormat="1" ht="12" hidden="1">
      <c r="A226" s="67" t="s">
        <v>56</v>
      </c>
      <c r="B226" s="68" t="s">
        <v>414</v>
      </c>
      <c r="C226" s="40">
        <v>178147349</v>
      </c>
      <c r="D226" s="65">
        <v>1.04</v>
      </c>
      <c r="E226" s="154">
        <v>178147349</v>
      </c>
      <c r="F226" s="152">
        <f t="shared" si="82"/>
        <v>185273242.96</v>
      </c>
      <c r="G226" s="152">
        <f t="shared" si="84"/>
        <v>189905074.03399998</v>
      </c>
      <c r="H226" s="159" t="e">
        <f>+G226*#REF!</f>
        <v>#REF!</v>
      </c>
      <c r="I226" s="159" t="e">
        <f>+H226*#REF!</f>
        <v>#REF!</v>
      </c>
      <c r="J226" s="159" t="e">
        <f>+I226*#REF!</f>
        <v>#REF!</v>
      </c>
      <c r="K226" s="159" t="e">
        <f>+J226*#REF!</f>
        <v>#REF!</v>
      </c>
      <c r="L226" s="159" t="e">
        <f>+K226*#REF!</f>
        <v>#REF!</v>
      </c>
      <c r="M226" s="159" t="e">
        <f>+L226*#REF!</f>
        <v>#REF!</v>
      </c>
      <c r="N226" s="159" t="e">
        <f>+M226*#REF!</f>
        <v>#REF!</v>
      </c>
    </row>
    <row r="227" spans="1:14" s="61" customFormat="1" ht="24" hidden="1">
      <c r="A227" s="67" t="s">
        <v>57</v>
      </c>
      <c r="B227" s="68" t="s">
        <v>410</v>
      </c>
      <c r="C227" s="40">
        <v>1000</v>
      </c>
      <c r="D227" s="65">
        <v>1.04</v>
      </c>
      <c r="E227" s="154">
        <v>1000</v>
      </c>
      <c r="F227" s="152">
        <f t="shared" si="82"/>
        <v>1040</v>
      </c>
      <c r="G227" s="152">
        <f t="shared" si="84"/>
        <v>1066</v>
      </c>
      <c r="H227" s="159" t="e">
        <f>+G227*#REF!</f>
        <v>#REF!</v>
      </c>
      <c r="I227" s="159" t="e">
        <f>+H227*#REF!</f>
        <v>#REF!</v>
      </c>
      <c r="J227" s="159" t="e">
        <f>+I227*#REF!</f>
        <v>#REF!</v>
      </c>
      <c r="K227" s="159" t="e">
        <f>+J227*#REF!</f>
        <v>#REF!</v>
      </c>
      <c r="L227" s="159" t="e">
        <f>+K227*#REF!</f>
        <v>#REF!</v>
      </c>
      <c r="M227" s="159" t="e">
        <f>+L227*#REF!</f>
        <v>#REF!</v>
      </c>
      <c r="N227" s="159" t="e">
        <f>+M227*#REF!</f>
        <v>#REF!</v>
      </c>
    </row>
    <row r="228" spans="1:14" s="66" customFormat="1" ht="24">
      <c r="A228" s="64" t="s">
        <v>58</v>
      </c>
      <c r="B228" s="58" t="s">
        <v>803</v>
      </c>
      <c r="C228" s="59">
        <f>+C229+C237+C241+C244+C245</f>
        <v>1332393071</v>
      </c>
      <c r="D228" s="65"/>
      <c r="E228" s="159">
        <v>1420000000</v>
      </c>
      <c r="F228" s="152">
        <f t="shared" si="82"/>
        <v>1476800000</v>
      </c>
      <c r="G228" s="152">
        <f t="shared" si="84"/>
        <v>1513719999.9999998</v>
      </c>
      <c r="H228" s="152">
        <f aca="true" t="shared" si="88" ref="H228:N228">+G228*1.025</f>
        <v>1551562999.9999995</v>
      </c>
      <c r="I228" s="152">
        <f t="shared" si="88"/>
        <v>1590352074.9999993</v>
      </c>
      <c r="J228" s="152">
        <f t="shared" si="88"/>
        <v>1630110876.874999</v>
      </c>
      <c r="K228" s="152">
        <f t="shared" si="88"/>
        <v>1670863648.7968738</v>
      </c>
      <c r="L228" s="152">
        <f t="shared" si="88"/>
        <v>1712635240.0167954</v>
      </c>
      <c r="M228" s="152">
        <f t="shared" si="88"/>
        <v>1755451121.017215</v>
      </c>
      <c r="N228" s="152">
        <f t="shared" si="88"/>
        <v>1799337399.0426452</v>
      </c>
    </row>
    <row r="229" spans="1:14" s="61" customFormat="1" ht="12" hidden="1">
      <c r="A229" s="64" t="s">
        <v>59</v>
      </c>
      <c r="B229" s="58" t="s">
        <v>415</v>
      </c>
      <c r="C229" s="59">
        <f>SUM(C230:C236)</f>
        <v>996152763</v>
      </c>
      <c r="D229" s="63"/>
      <c r="E229" s="159">
        <f>SUM(E230:E236)</f>
        <v>996152763</v>
      </c>
      <c r="F229" s="152">
        <f t="shared" si="82"/>
        <v>1035998873.52</v>
      </c>
      <c r="G229" s="152">
        <f t="shared" si="84"/>
        <v>1061898845.3579999</v>
      </c>
      <c r="H229" s="152">
        <f aca="true" t="shared" si="89" ref="H229:N229">+G229*1.025</f>
        <v>1088446316.4919498</v>
      </c>
      <c r="I229" s="152">
        <f t="shared" si="89"/>
        <v>1115657474.4042485</v>
      </c>
      <c r="J229" s="152">
        <f t="shared" si="89"/>
        <v>1143548911.2643547</v>
      </c>
      <c r="K229" s="152">
        <f t="shared" si="89"/>
        <v>1172137634.0459635</v>
      </c>
      <c r="L229" s="152">
        <f t="shared" si="89"/>
        <v>1201441074.8971126</v>
      </c>
      <c r="M229" s="152">
        <f t="shared" si="89"/>
        <v>1231477101.7695403</v>
      </c>
      <c r="N229" s="152">
        <f t="shared" si="89"/>
        <v>1262264029.3137786</v>
      </c>
    </row>
    <row r="230" spans="1:14" s="61" customFormat="1" ht="24" hidden="1">
      <c r="A230" s="67" t="s">
        <v>60</v>
      </c>
      <c r="B230" s="68" t="s">
        <v>416</v>
      </c>
      <c r="C230" s="40">
        <v>66619654</v>
      </c>
      <c r="D230" s="65">
        <v>1.04</v>
      </c>
      <c r="E230" s="154">
        <v>66619654</v>
      </c>
      <c r="F230" s="152">
        <f t="shared" si="82"/>
        <v>69284440.16</v>
      </c>
      <c r="G230" s="152">
        <f t="shared" si="84"/>
        <v>71016551.16399999</v>
      </c>
      <c r="H230" s="152">
        <f aca="true" t="shared" si="90" ref="H230:N230">+G230*1.025</f>
        <v>72791964.94309999</v>
      </c>
      <c r="I230" s="152">
        <f t="shared" si="90"/>
        <v>74611764.06667748</v>
      </c>
      <c r="J230" s="152">
        <f t="shared" si="90"/>
        <v>76477058.16834441</v>
      </c>
      <c r="K230" s="152">
        <f t="shared" si="90"/>
        <v>78388984.622553</v>
      </c>
      <c r="L230" s="152">
        <f t="shared" si="90"/>
        <v>80348709.23811683</v>
      </c>
      <c r="M230" s="152">
        <f t="shared" si="90"/>
        <v>82357426.96906975</v>
      </c>
      <c r="N230" s="152">
        <f t="shared" si="90"/>
        <v>84416362.64329648</v>
      </c>
    </row>
    <row r="231" spans="1:14" s="61" customFormat="1" ht="12" hidden="1">
      <c r="A231" s="67" t="s">
        <v>61</v>
      </c>
      <c r="B231" s="68" t="s">
        <v>417</v>
      </c>
      <c r="C231" s="40">
        <v>100000000</v>
      </c>
      <c r="D231" s="65">
        <v>1.04</v>
      </c>
      <c r="E231" s="154">
        <v>100000000</v>
      </c>
      <c r="F231" s="152">
        <f t="shared" si="82"/>
        <v>104000000</v>
      </c>
      <c r="G231" s="152">
        <f t="shared" si="84"/>
        <v>106599999.99999999</v>
      </c>
      <c r="H231" s="152">
        <f aca="true" t="shared" si="91" ref="H231:N231">+G231*1.025</f>
        <v>109264999.99999997</v>
      </c>
      <c r="I231" s="152">
        <f t="shared" si="91"/>
        <v>111996624.99999996</v>
      </c>
      <c r="J231" s="152">
        <f t="shared" si="91"/>
        <v>114796540.62499994</v>
      </c>
      <c r="K231" s="152">
        <f t="shared" si="91"/>
        <v>117666454.14062493</v>
      </c>
      <c r="L231" s="152">
        <f t="shared" si="91"/>
        <v>120608115.49414054</v>
      </c>
      <c r="M231" s="152">
        <f t="shared" si="91"/>
        <v>123623318.38149405</v>
      </c>
      <c r="N231" s="152">
        <f t="shared" si="91"/>
        <v>126713901.34103139</v>
      </c>
    </row>
    <row r="232" spans="1:14" s="61" customFormat="1" ht="36" hidden="1">
      <c r="A232" s="67" t="s">
        <v>62</v>
      </c>
      <c r="B232" s="68" t="s">
        <v>418</v>
      </c>
      <c r="C232" s="40">
        <v>7400000</v>
      </c>
      <c r="D232" s="65">
        <v>1.04</v>
      </c>
      <c r="E232" s="154">
        <v>7400000</v>
      </c>
      <c r="F232" s="152">
        <f t="shared" si="82"/>
        <v>7696000</v>
      </c>
      <c r="G232" s="152">
        <f t="shared" si="84"/>
        <v>7888399.999999999</v>
      </c>
      <c r="H232" s="152">
        <f aca="true" t="shared" si="92" ref="H232:N232">+G232*1.025</f>
        <v>8085609.999999998</v>
      </c>
      <c r="I232" s="152">
        <f t="shared" si="92"/>
        <v>8287750.249999997</v>
      </c>
      <c r="J232" s="152">
        <f t="shared" si="92"/>
        <v>8494944.006249996</v>
      </c>
      <c r="K232" s="152">
        <f t="shared" si="92"/>
        <v>8707317.606406245</v>
      </c>
      <c r="L232" s="152">
        <f t="shared" si="92"/>
        <v>8925000.5465664</v>
      </c>
      <c r="M232" s="152">
        <f t="shared" si="92"/>
        <v>9148125.56023056</v>
      </c>
      <c r="N232" s="152">
        <f t="shared" si="92"/>
        <v>9376828.699236324</v>
      </c>
    </row>
    <row r="233" spans="1:14" s="61" customFormat="1" ht="24" hidden="1">
      <c r="A233" s="67" t="s">
        <v>63</v>
      </c>
      <c r="B233" s="68" t="s">
        <v>419</v>
      </c>
      <c r="C233" s="40">
        <v>30000000</v>
      </c>
      <c r="D233" s="65">
        <v>1.04</v>
      </c>
      <c r="E233" s="154">
        <v>30000000</v>
      </c>
      <c r="F233" s="152">
        <f t="shared" si="82"/>
        <v>31200000</v>
      </c>
      <c r="G233" s="152">
        <f t="shared" si="84"/>
        <v>31979999.999999996</v>
      </c>
      <c r="H233" s="152">
        <f aca="true" t="shared" si="93" ref="H233:N233">+G233*1.025</f>
        <v>32779499.999999993</v>
      </c>
      <c r="I233" s="152">
        <f t="shared" si="93"/>
        <v>33598987.49999999</v>
      </c>
      <c r="J233" s="152">
        <f t="shared" si="93"/>
        <v>34438962.18749999</v>
      </c>
      <c r="K233" s="152">
        <f t="shared" si="93"/>
        <v>35299936.24218749</v>
      </c>
      <c r="L233" s="152">
        <f t="shared" si="93"/>
        <v>36182434.648242176</v>
      </c>
      <c r="M233" s="152">
        <f t="shared" si="93"/>
        <v>37086995.514448225</v>
      </c>
      <c r="N233" s="152">
        <f t="shared" si="93"/>
        <v>38014170.402309425</v>
      </c>
    </row>
    <row r="234" spans="1:14" s="61" customFormat="1" ht="24" hidden="1">
      <c r="A234" s="67" t="s">
        <v>64</v>
      </c>
      <c r="B234" s="68" t="s">
        <v>420</v>
      </c>
      <c r="C234" s="40">
        <v>20000000</v>
      </c>
      <c r="D234" s="65">
        <v>1.04</v>
      </c>
      <c r="E234" s="154">
        <v>20000000</v>
      </c>
      <c r="F234" s="152">
        <f t="shared" si="82"/>
        <v>20800000</v>
      </c>
      <c r="G234" s="152">
        <f t="shared" si="84"/>
        <v>21320000</v>
      </c>
      <c r="H234" s="152">
        <f aca="true" t="shared" si="94" ref="H234:N234">+G234*1.025</f>
        <v>21852999.999999996</v>
      </c>
      <c r="I234" s="152">
        <f t="shared" si="94"/>
        <v>22399324.999999993</v>
      </c>
      <c r="J234" s="152">
        <f t="shared" si="94"/>
        <v>22959308.12499999</v>
      </c>
      <c r="K234" s="152">
        <f t="shared" si="94"/>
        <v>23533290.828124985</v>
      </c>
      <c r="L234" s="152">
        <f t="shared" si="94"/>
        <v>24121623.098828107</v>
      </c>
      <c r="M234" s="152">
        <f t="shared" si="94"/>
        <v>24724663.67629881</v>
      </c>
      <c r="N234" s="152">
        <f t="shared" si="94"/>
        <v>25342780.268206276</v>
      </c>
    </row>
    <row r="235" spans="1:14" s="61" customFormat="1" ht="24" hidden="1">
      <c r="A235" s="67" t="s">
        <v>65</v>
      </c>
      <c r="B235" s="68" t="s">
        <v>421</v>
      </c>
      <c r="C235" s="40">
        <v>305795534</v>
      </c>
      <c r="D235" s="65">
        <v>1.04</v>
      </c>
      <c r="E235" s="154">
        <v>305795534</v>
      </c>
      <c r="F235" s="152">
        <f t="shared" si="82"/>
        <v>318027355.36</v>
      </c>
      <c r="G235" s="152">
        <f t="shared" si="84"/>
        <v>325978039.24399996</v>
      </c>
      <c r="H235" s="152">
        <f aca="true" t="shared" si="95" ref="H235:N235">+G235*1.025</f>
        <v>334127490.2250999</v>
      </c>
      <c r="I235" s="152">
        <f t="shared" si="95"/>
        <v>342480677.4807274</v>
      </c>
      <c r="J235" s="152">
        <f t="shared" si="95"/>
        <v>351042694.41774553</v>
      </c>
      <c r="K235" s="152">
        <f t="shared" si="95"/>
        <v>359818761.7781891</v>
      </c>
      <c r="L235" s="152">
        <f t="shared" si="95"/>
        <v>368814230.8226438</v>
      </c>
      <c r="M235" s="152">
        <f t="shared" si="95"/>
        <v>378034586.59320986</v>
      </c>
      <c r="N235" s="152">
        <f t="shared" si="95"/>
        <v>387485451.2580401</v>
      </c>
    </row>
    <row r="236" spans="1:14" s="61" customFormat="1" ht="24" hidden="1">
      <c r="A236" s="67" t="s">
        <v>93</v>
      </c>
      <c r="B236" s="68" t="s">
        <v>92</v>
      </c>
      <c r="C236" s="40">
        <v>466337575</v>
      </c>
      <c r="D236" s="65">
        <v>1.04</v>
      </c>
      <c r="E236" s="154">
        <v>466337575</v>
      </c>
      <c r="F236" s="152">
        <f t="shared" si="82"/>
        <v>484991078</v>
      </c>
      <c r="G236" s="152">
        <f t="shared" si="84"/>
        <v>497115854.9499999</v>
      </c>
      <c r="H236" s="152">
        <f aca="true" t="shared" si="96" ref="H236:N236">+G236*1.025</f>
        <v>509543751.3237499</v>
      </c>
      <c r="I236" s="152">
        <f t="shared" si="96"/>
        <v>522282345.1068436</v>
      </c>
      <c r="J236" s="152">
        <f t="shared" si="96"/>
        <v>535339403.73451465</v>
      </c>
      <c r="K236" s="152">
        <f t="shared" si="96"/>
        <v>548722888.8278775</v>
      </c>
      <c r="L236" s="152">
        <f t="shared" si="96"/>
        <v>562440961.0485744</v>
      </c>
      <c r="M236" s="152">
        <f t="shared" si="96"/>
        <v>576501985.0747888</v>
      </c>
      <c r="N236" s="152">
        <f t="shared" si="96"/>
        <v>590914534.7016585</v>
      </c>
    </row>
    <row r="237" spans="1:14" s="61" customFormat="1" ht="12" hidden="1">
      <c r="A237" s="64" t="s">
        <v>66</v>
      </c>
      <c r="B237" s="58" t="s">
        <v>422</v>
      </c>
      <c r="C237" s="59">
        <f>SUM(C238:C240)</f>
        <v>116619654</v>
      </c>
      <c r="D237" s="63"/>
      <c r="E237" s="159">
        <f>SUM(E238:E240)</f>
        <v>116619654</v>
      </c>
      <c r="F237" s="152">
        <f t="shared" si="82"/>
        <v>121284440.16000001</v>
      </c>
      <c r="G237" s="152">
        <f t="shared" si="84"/>
        <v>124316551.164</v>
      </c>
      <c r="H237" s="152">
        <f aca="true" t="shared" si="97" ref="H237:N237">+G237*1.025</f>
        <v>127424464.94309999</v>
      </c>
      <c r="I237" s="152">
        <f t="shared" si="97"/>
        <v>130610076.56667748</v>
      </c>
      <c r="J237" s="152">
        <f t="shared" si="97"/>
        <v>133875328.48084441</v>
      </c>
      <c r="K237" s="152">
        <f t="shared" si="97"/>
        <v>137222211.69286552</v>
      </c>
      <c r="L237" s="152">
        <f t="shared" si="97"/>
        <v>140652766.98518714</v>
      </c>
      <c r="M237" s="152">
        <f t="shared" si="97"/>
        <v>144169086.1598168</v>
      </c>
      <c r="N237" s="152">
        <f t="shared" si="97"/>
        <v>147773313.3138122</v>
      </c>
    </row>
    <row r="238" spans="1:14" s="61" customFormat="1" ht="24" hidden="1">
      <c r="A238" s="67" t="s">
        <v>67</v>
      </c>
      <c r="B238" s="68" t="s">
        <v>423</v>
      </c>
      <c r="C238" s="40">
        <v>66619654</v>
      </c>
      <c r="D238" s="65">
        <v>1.04</v>
      </c>
      <c r="E238" s="154">
        <v>66619654</v>
      </c>
      <c r="F238" s="152">
        <f t="shared" si="82"/>
        <v>69284440.16</v>
      </c>
      <c r="G238" s="152">
        <f t="shared" si="84"/>
        <v>71016551.16399999</v>
      </c>
      <c r="H238" s="152">
        <f aca="true" t="shared" si="98" ref="H238:N238">+G238*1.025</f>
        <v>72791964.94309999</v>
      </c>
      <c r="I238" s="152">
        <f t="shared" si="98"/>
        <v>74611764.06667748</v>
      </c>
      <c r="J238" s="152">
        <f t="shared" si="98"/>
        <v>76477058.16834441</v>
      </c>
      <c r="K238" s="152">
        <f t="shared" si="98"/>
        <v>78388984.622553</v>
      </c>
      <c r="L238" s="152">
        <f t="shared" si="98"/>
        <v>80348709.23811683</v>
      </c>
      <c r="M238" s="152">
        <f t="shared" si="98"/>
        <v>82357426.96906975</v>
      </c>
      <c r="N238" s="152">
        <f t="shared" si="98"/>
        <v>84416362.64329648</v>
      </c>
    </row>
    <row r="239" spans="1:14" s="61" customFormat="1" ht="12" hidden="1">
      <c r="A239" s="67" t="s">
        <v>68</v>
      </c>
      <c r="B239" s="68" t="s">
        <v>417</v>
      </c>
      <c r="C239" s="40">
        <v>20000000</v>
      </c>
      <c r="D239" s="65">
        <v>1.04</v>
      </c>
      <c r="E239" s="154">
        <v>20000000</v>
      </c>
      <c r="F239" s="152">
        <f t="shared" si="82"/>
        <v>20800000</v>
      </c>
      <c r="G239" s="152">
        <f t="shared" si="84"/>
        <v>21320000</v>
      </c>
      <c r="H239" s="152">
        <f aca="true" t="shared" si="99" ref="H239:N239">+G239*1.025</f>
        <v>21852999.999999996</v>
      </c>
      <c r="I239" s="152">
        <f t="shared" si="99"/>
        <v>22399324.999999993</v>
      </c>
      <c r="J239" s="152">
        <f t="shared" si="99"/>
        <v>22959308.12499999</v>
      </c>
      <c r="K239" s="152">
        <f t="shared" si="99"/>
        <v>23533290.828124985</v>
      </c>
      <c r="L239" s="152">
        <f t="shared" si="99"/>
        <v>24121623.098828107</v>
      </c>
      <c r="M239" s="152">
        <f t="shared" si="99"/>
        <v>24724663.67629881</v>
      </c>
      <c r="N239" s="152">
        <f t="shared" si="99"/>
        <v>25342780.268206276</v>
      </c>
    </row>
    <row r="240" spans="1:14" s="61" customFormat="1" ht="36" hidden="1">
      <c r="A240" s="67" t="s">
        <v>69</v>
      </c>
      <c r="B240" s="68" t="s">
        <v>424</v>
      </c>
      <c r="C240" s="40">
        <v>30000000</v>
      </c>
      <c r="D240" s="65">
        <v>1.04</v>
      </c>
      <c r="E240" s="154">
        <v>30000000</v>
      </c>
      <c r="F240" s="152">
        <f t="shared" si="82"/>
        <v>31200000</v>
      </c>
      <c r="G240" s="152">
        <f t="shared" si="84"/>
        <v>31979999.999999996</v>
      </c>
      <c r="H240" s="152">
        <f aca="true" t="shared" si="100" ref="H240:N240">+G240*1.025</f>
        <v>32779499.999999993</v>
      </c>
      <c r="I240" s="152">
        <f t="shared" si="100"/>
        <v>33598987.49999999</v>
      </c>
      <c r="J240" s="152">
        <f t="shared" si="100"/>
        <v>34438962.18749999</v>
      </c>
      <c r="K240" s="152">
        <f t="shared" si="100"/>
        <v>35299936.24218749</v>
      </c>
      <c r="L240" s="152">
        <f t="shared" si="100"/>
        <v>36182434.648242176</v>
      </c>
      <c r="M240" s="152">
        <f t="shared" si="100"/>
        <v>37086995.514448225</v>
      </c>
      <c r="N240" s="152">
        <f t="shared" si="100"/>
        <v>38014170.402309425</v>
      </c>
    </row>
    <row r="241" spans="1:14" s="61" customFormat="1" ht="12" hidden="1">
      <c r="A241" s="64" t="s">
        <v>70</v>
      </c>
      <c r="B241" s="58" t="s">
        <v>425</v>
      </c>
      <c r="C241" s="59">
        <f>SUM(C242:C243)</f>
        <v>89619654</v>
      </c>
      <c r="D241" s="63"/>
      <c r="E241" s="159">
        <f>SUM(E242:E243)</f>
        <v>89619654</v>
      </c>
      <c r="F241" s="152">
        <f t="shared" si="82"/>
        <v>93204440.16</v>
      </c>
      <c r="G241" s="152">
        <f t="shared" si="84"/>
        <v>95534551.16399999</v>
      </c>
      <c r="H241" s="152">
        <f aca="true" t="shared" si="101" ref="H241:N241">+G241*1.025</f>
        <v>97922914.94309998</v>
      </c>
      <c r="I241" s="152">
        <f t="shared" si="101"/>
        <v>100370987.81667747</v>
      </c>
      <c r="J241" s="152">
        <f t="shared" si="101"/>
        <v>102880262.5120944</v>
      </c>
      <c r="K241" s="152">
        <f t="shared" si="101"/>
        <v>105452269.07489674</v>
      </c>
      <c r="L241" s="152">
        <f t="shared" si="101"/>
        <v>108088575.80176915</v>
      </c>
      <c r="M241" s="152">
        <f t="shared" si="101"/>
        <v>110790790.19681337</v>
      </c>
      <c r="N241" s="152">
        <f t="shared" si="101"/>
        <v>113560559.9517337</v>
      </c>
    </row>
    <row r="242" spans="1:14" s="61" customFormat="1" ht="24" hidden="1">
      <c r="A242" s="67" t="s">
        <v>71</v>
      </c>
      <c r="B242" s="68" t="s">
        <v>423</v>
      </c>
      <c r="C242" s="40">
        <v>66619654</v>
      </c>
      <c r="D242" s="65">
        <v>1.04</v>
      </c>
      <c r="E242" s="154">
        <v>66619654</v>
      </c>
      <c r="F242" s="152">
        <f t="shared" si="82"/>
        <v>69284440.16</v>
      </c>
      <c r="G242" s="152">
        <f t="shared" si="84"/>
        <v>71016551.16399999</v>
      </c>
      <c r="H242" s="152">
        <f aca="true" t="shared" si="102" ref="H242:N242">+G242*1.025</f>
        <v>72791964.94309999</v>
      </c>
      <c r="I242" s="152">
        <f t="shared" si="102"/>
        <v>74611764.06667748</v>
      </c>
      <c r="J242" s="152">
        <f t="shared" si="102"/>
        <v>76477058.16834441</v>
      </c>
      <c r="K242" s="152">
        <f t="shared" si="102"/>
        <v>78388984.622553</v>
      </c>
      <c r="L242" s="152">
        <f t="shared" si="102"/>
        <v>80348709.23811683</v>
      </c>
      <c r="M242" s="152">
        <f t="shared" si="102"/>
        <v>82357426.96906975</v>
      </c>
      <c r="N242" s="152">
        <f t="shared" si="102"/>
        <v>84416362.64329648</v>
      </c>
    </row>
    <row r="243" spans="1:14" s="61" customFormat="1" ht="24" hidden="1">
      <c r="A243" s="67" t="s">
        <v>72</v>
      </c>
      <c r="B243" s="68" t="s">
        <v>426</v>
      </c>
      <c r="C243" s="40">
        <v>23000000</v>
      </c>
      <c r="D243" s="65">
        <v>1.04</v>
      </c>
      <c r="E243" s="154">
        <v>23000000</v>
      </c>
      <c r="F243" s="152">
        <f t="shared" si="82"/>
        <v>23920000</v>
      </c>
      <c r="G243" s="152">
        <f t="shared" si="84"/>
        <v>24517999.999999996</v>
      </c>
      <c r="H243" s="152">
        <f aca="true" t="shared" si="103" ref="H243:N243">+G243*1.025</f>
        <v>25130949.999999993</v>
      </c>
      <c r="I243" s="152">
        <f t="shared" si="103"/>
        <v>25759223.74999999</v>
      </c>
      <c r="J243" s="152">
        <f t="shared" si="103"/>
        <v>26403204.343749985</v>
      </c>
      <c r="K243" s="152">
        <f t="shared" si="103"/>
        <v>27063284.452343732</v>
      </c>
      <c r="L243" s="152">
        <f t="shared" si="103"/>
        <v>27739866.56365232</v>
      </c>
      <c r="M243" s="152">
        <f t="shared" si="103"/>
        <v>28433363.227743626</v>
      </c>
      <c r="N243" s="152">
        <f t="shared" si="103"/>
        <v>29144197.308437213</v>
      </c>
    </row>
    <row r="244" spans="1:14" s="61" customFormat="1" ht="24" hidden="1">
      <c r="A244" s="67" t="s">
        <v>73</v>
      </c>
      <c r="B244" s="68" t="s">
        <v>427</v>
      </c>
      <c r="C244" s="40">
        <v>130000000</v>
      </c>
      <c r="D244" s="65">
        <v>1.04</v>
      </c>
      <c r="E244" s="154">
        <v>130000000</v>
      </c>
      <c r="F244" s="152">
        <f t="shared" si="82"/>
        <v>135200000</v>
      </c>
      <c r="G244" s="152">
        <f t="shared" si="84"/>
        <v>138580000</v>
      </c>
      <c r="H244" s="152">
        <f aca="true" t="shared" si="104" ref="H244:N244">+G244*1.025</f>
        <v>142044500</v>
      </c>
      <c r="I244" s="152">
        <f t="shared" si="104"/>
        <v>145595612.5</v>
      </c>
      <c r="J244" s="152">
        <f t="shared" si="104"/>
        <v>149235502.8125</v>
      </c>
      <c r="K244" s="152">
        <f t="shared" si="104"/>
        <v>152966390.3828125</v>
      </c>
      <c r="L244" s="152">
        <f t="shared" si="104"/>
        <v>156790550.1423828</v>
      </c>
      <c r="M244" s="152">
        <f t="shared" si="104"/>
        <v>160710313.89594236</v>
      </c>
      <c r="N244" s="152">
        <f t="shared" si="104"/>
        <v>164728071.7433409</v>
      </c>
    </row>
    <row r="245" spans="1:14" s="61" customFormat="1" ht="24" hidden="1">
      <c r="A245" s="67" t="s">
        <v>74</v>
      </c>
      <c r="B245" s="68" t="s">
        <v>410</v>
      </c>
      <c r="C245" s="40">
        <v>1000</v>
      </c>
      <c r="D245" s="65">
        <v>1.04</v>
      </c>
      <c r="E245" s="154">
        <v>1000</v>
      </c>
      <c r="F245" s="152">
        <f t="shared" si="82"/>
        <v>1040</v>
      </c>
      <c r="G245" s="152">
        <f t="shared" si="84"/>
        <v>1066</v>
      </c>
      <c r="H245" s="152">
        <f aca="true" t="shared" si="105" ref="H245:N245">+G245*1.025</f>
        <v>1092.6499999999999</v>
      </c>
      <c r="I245" s="152">
        <f t="shared" si="105"/>
        <v>1119.9662499999997</v>
      </c>
      <c r="J245" s="152">
        <f t="shared" si="105"/>
        <v>1147.9654062499997</v>
      </c>
      <c r="K245" s="152">
        <f t="shared" si="105"/>
        <v>1176.6645414062496</v>
      </c>
      <c r="L245" s="152">
        <f t="shared" si="105"/>
        <v>1206.0811549414057</v>
      </c>
      <c r="M245" s="152">
        <f t="shared" si="105"/>
        <v>1236.2331838149407</v>
      </c>
      <c r="N245" s="152">
        <f t="shared" si="105"/>
        <v>1267.1390134103142</v>
      </c>
    </row>
    <row r="246" spans="1:14" s="66" customFormat="1" ht="12">
      <c r="A246" s="64" t="s">
        <v>75</v>
      </c>
      <c r="B246" s="58" t="s">
        <v>98</v>
      </c>
      <c r="C246" s="59">
        <f>SUM(C247:C251)</f>
        <v>97439342</v>
      </c>
      <c r="D246" s="65"/>
      <c r="E246" s="159">
        <v>116500000</v>
      </c>
      <c r="F246" s="152">
        <f t="shared" si="82"/>
        <v>121160000</v>
      </c>
      <c r="G246" s="152">
        <f t="shared" si="84"/>
        <v>124188999.99999999</v>
      </c>
      <c r="H246" s="152">
        <f aca="true" t="shared" si="106" ref="H246:N246">+G246*1.025</f>
        <v>127293724.99999997</v>
      </c>
      <c r="I246" s="152">
        <f t="shared" si="106"/>
        <v>130476068.12499996</v>
      </c>
      <c r="J246" s="152">
        <f t="shared" si="106"/>
        <v>133737969.82812494</v>
      </c>
      <c r="K246" s="152">
        <f t="shared" si="106"/>
        <v>137081419.07382804</v>
      </c>
      <c r="L246" s="152">
        <f t="shared" si="106"/>
        <v>140508454.55067372</v>
      </c>
      <c r="M246" s="152">
        <f t="shared" si="106"/>
        <v>144021165.91444054</v>
      </c>
      <c r="N246" s="152">
        <f t="shared" si="106"/>
        <v>147621695.06230155</v>
      </c>
    </row>
    <row r="247" spans="1:14" s="61" customFormat="1" ht="36" hidden="1">
      <c r="A247" s="67" t="s">
        <v>76</v>
      </c>
      <c r="B247" s="68" t="s">
        <v>428</v>
      </c>
      <c r="C247" s="40">
        <v>33000000</v>
      </c>
      <c r="D247" s="65">
        <v>1.04</v>
      </c>
      <c r="E247" s="154">
        <v>33000000</v>
      </c>
      <c r="F247" s="152">
        <f t="shared" si="82"/>
        <v>34320000</v>
      </c>
      <c r="G247" s="152">
        <f aca="true" t="shared" si="107" ref="G247:G278">+F247*1.025</f>
        <v>35178000</v>
      </c>
      <c r="H247" s="152">
        <f aca="true" t="shared" si="108" ref="H247:N247">+G247*1.025</f>
        <v>36057450</v>
      </c>
      <c r="I247" s="152">
        <f t="shared" si="108"/>
        <v>36958886.25</v>
      </c>
      <c r="J247" s="152">
        <f t="shared" si="108"/>
        <v>37882858.40625</v>
      </c>
      <c r="K247" s="152">
        <f t="shared" si="108"/>
        <v>38829929.86640625</v>
      </c>
      <c r="L247" s="152">
        <f t="shared" si="108"/>
        <v>39800678.1130664</v>
      </c>
      <c r="M247" s="152">
        <f t="shared" si="108"/>
        <v>40795695.065893054</v>
      </c>
      <c r="N247" s="152">
        <f t="shared" si="108"/>
        <v>41815587.44254038</v>
      </c>
    </row>
    <row r="248" spans="1:14" s="61" customFormat="1" ht="36" hidden="1">
      <c r="A248" s="67" t="s">
        <v>77</v>
      </c>
      <c r="B248" s="68" t="s">
        <v>429</v>
      </c>
      <c r="C248" s="40">
        <v>21000000</v>
      </c>
      <c r="D248" s="65">
        <v>1.04</v>
      </c>
      <c r="E248" s="154">
        <v>21000000</v>
      </c>
      <c r="F248" s="152">
        <f t="shared" si="82"/>
        <v>21840000</v>
      </c>
      <c r="G248" s="152">
        <f t="shared" si="107"/>
        <v>22385999.999999996</v>
      </c>
      <c r="H248" s="152">
        <f aca="true" t="shared" si="109" ref="H248:N248">+G248*1.025</f>
        <v>22945649.999999993</v>
      </c>
      <c r="I248" s="152">
        <f t="shared" si="109"/>
        <v>23519291.24999999</v>
      </c>
      <c r="J248" s="152">
        <f t="shared" si="109"/>
        <v>24107273.531249985</v>
      </c>
      <c r="K248" s="152">
        <f t="shared" si="109"/>
        <v>24709955.369531233</v>
      </c>
      <c r="L248" s="152">
        <f t="shared" si="109"/>
        <v>25327704.253769513</v>
      </c>
      <c r="M248" s="152">
        <f t="shared" si="109"/>
        <v>25960896.860113747</v>
      </c>
      <c r="N248" s="152">
        <f t="shared" si="109"/>
        <v>26609919.281616587</v>
      </c>
    </row>
    <row r="249" spans="1:14" s="61" customFormat="1" ht="24" hidden="1">
      <c r="A249" s="67" t="s">
        <v>78</v>
      </c>
      <c r="B249" s="68" t="s">
        <v>430</v>
      </c>
      <c r="C249" s="40">
        <v>18038342</v>
      </c>
      <c r="D249" s="65">
        <v>1.04</v>
      </c>
      <c r="E249" s="154">
        <v>18038342</v>
      </c>
      <c r="F249" s="152">
        <f t="shared" si="82"/>
        <v>18759875.68</v>
      </c>
      <c r="G249" s="152">
        <f t="shared" si="107"/>
        <v>19228872.571999997</v>
      </c>
      <c r="H249" s="152">
        <f aca="true" t="shared" si="110" ref="H249:N249">+G249*1.025</f>
        <v>19709594.386299994</v>
      </c>
      <c r="I249" s="152">
        <f t="shared" si="110"/>
        <v>20202334.245957494</v>
      </c>
      <c r="J249" s="152">
        <f t="shared" si="110"/>
        <v>20707392.60210643</v>
      </c>
      <c r="K249" s="152">
        <f t="shared" si="110"/>
        <v>21225077.417159088</v>
      </c>
      <c r="L249" s="152">
        <f t="shared" si="110"/>
        <v>21755704.352588065</v>
      </c>
      <c r="M249" s="152">
        <f t="shared" si="110"/>
        <v>22299596.961402766</v>
      </c>
      <c r="N249" s="152">
        <f t="shared" si="110"/>
        <v>22857086.885437835</v>
      </c>
    </row>
    <row r="250" spans="1:14" s="61" customFormat="1" ht="24" hidden="1">
      <c r="A250" s="67" t="s">
        <v>79</v>
      </c>
      <c r="B250" s="68" t="s">
        <v>432</v>
      </c>
      <c r="C250" s="40">
        <v>25400000</v>
      </c>
      <c r="D250" s="65">
        <v>1.04</v>
      </c>
      <c r="E250" s="154">
        <v>25400000</v>
      </c>
      <c r="F250" s="152">
        <f t="shared" si="82"/>
        <v>26416000</v>
      </c>
      <c r="G250" s="152">
        <f t="shared" si="107"/>
        <v>27076399.999999996</v>
      </c>
      <c r="H250" s="152">
        <f aca="true" t="shared" si="111" ref="H250:N250">+G250*1.025</f>
        <v>27753309.999999993</v>
      </c>
      <c r="I250" s="152">
        <f t="shared" si="111"/>
        <v>28447142.74999999</v>
      </c>
      <c r="J250" s="152">
        <f t="shared" si="111"/>
        <v>29158321.318749987</v>
      </c>
      <c r="K250" s="152">
        <f t="shared" si="111"/>
        <v>29887279.351718735</v>
      </c>
      <c r="L250" s="152">
        <f t="shared" si="111"/>
        <v>30634461.3355117</v>
      </c>
      <c r="M250" s="152">
        <f t="shared" si="111"/>
        <v>31400322.86889949</v>
      </c>
      <c r="N250" s="152">
        <f t="shared" si="111"/>
        <v>32185330.940621976</v>
      </c>
    </row>
    <row r="251" spans="1:14" s="61" customFormat="1" ht="24" hidden="1">
      <c r="A251" s="67" t="s">
        <v>80</v>
      </c>
      <c r="B251" s="68" t="s">
        <v>410</v>
      </c>
      <c r="C251" s="40">
        <v>1000</v>
      </c>
      <c r="D251" s="65">
        <v>1.04</v>
      </c>
      <c r="E251" s="154">
        <v>1000</v>
      </c>
      <c r="F251" s="152">
        <f t="shared" si="82"/>
        <v>1040</v>
      </c>
      <c r="G251" s="152">
        <f t="shared" si="107"/>
        <v>1066</v>
      </c>
      <c r="H251" s="152">
        <f aca="true" t="shared" si="112" ref="H251:N251">+G251*1.025</f>
        <v>1092.6499999999999</v>
      </c>
      <c r="I251" s="152">
        <f t="shared" si="112"/>
        <v>1119.9662499999997</v>
      </c>
      <c r="J251" s="152">
        <f t="shared" si="112"/>
        <v>1147.9654062499997</v>
      </c>
      <c r="K251" s="152">
        <f t="shared" si="112"/>
        <v>1176.6645414062496</v>
      </c>
      <c r="L251" s="152">
        <f t="shared" si="112"/>
        <v>1206.0811549414057</v>
      </c>
      <c r="M251" s="152">
        <f t="shared" si="112"/>
        <v>1236.2331838149407</v>
      </c>
      <c r="N251" s="152">
        <f t="shared" si="112"/>
        <v>1267.1390134103142</v>
      </c>
    </row>
    <row r="252" spans="1:14" s="66" customFormat="1" ht="12">
      <c r="A252" s="64" t="s">
        <v>81</v>
      </c>
      <c r="B252" s="58" t="s">
        <v>97</v>
      </c>
      <c r="C252" s="59">
        <f>SUM(C253:C257)</f>
        <v>73079508</v>
      </c>
      <c r="D252" s="65"/>
      <c r="E252" s="159">
        <v>75000000</v>
      </c>
      <c r="F252" s="152">
        <f t="shared" si="82"/>
        <v>78000000</v>
      </c>
      <c r="G252" s="152">
        <f t="shared" si="107"/>
        <v>79950000</v>
      </c>
      <c r="H252" s="152">
        <f aca="true" t="shared" si="113" ref="H252:N252">+G252*1.025</f>
        <v>81948750</v>
      </c>
      <c r="I252" s="152">
        <f t="shared" si="113"/>
        <v>83997468.75</v>
      </c>
      <c r="J252" s="152">
        <f t="shared" si="113"/>
        <v>86097405.46874999</v>
      </c>
      <c r="K252" s="152">
        <f t="shared" si="113"/>
        <v>88249840.60546872</v>
      </c>
      <c r="L252" s="152">
        <f t="shared" si="113"/>
        <v>90456086.62060542</v>
      </c>
      <c r="M252" s="152">
        <f t="shared" si="113"/>
        <v>92717488.78612055</v>
      </c>
      <c r="N252" s="152">
        <f t="shared" si="113"/>
        <v>95035426.00577356</v>
      </c>
    </row>
    <row r="253" spans="1:14" s="61" customFormat="1" ht="24" hidden="1">
      <c r="A253" s="67" t="s">
        <v>82</v>
      </c>
      <c r="B253" s="68" t="s">
        <v>433</v>
      </c>
      <c r="C253" s="40">
        <v>20078508</v>
      </c>
      <c r="D253" s="65">
        <v>1.04</v>
      </c>
      <c r="E253" s="154">
        <v>20078508</v>
      </c>
      <c r="F253" s="152">
        <f t="shared" si="82"/>
        <v>20881648.32</v>
      </c>
      <c r="G253" s="152">
        <f t="shared" si="107"/>
        <v>21403689.527999997</v>
      </c>
      <c r="H253" s="152">
        <f aca="true" t="shared" si="114" ref="H253:N253">+G253*1.025</f>
        <v>21938781.766199995</v>
      </c>
      <c r="I253" s="152">
        <f t="shared" si="114"/>
        <v>22487251.310354993</v>
      </c>
      <c r="J253" s="152">
        <f t="shared" si="114"/>
        <v>23049432.593113866</v>
      </c>
      <c r="K253" s="152">
        <f t="shared" si="114"/>
        <v>23625668.40794171</v>
      </c>
      <c r="L253" s="152">
        <f t="shared" si="114"/>
        <v>24216310.11814025</v>
      </c>
      <c r="M253" s="152">
        <f t="shared" si="114"/>
        <v>24821717.871093754</v>
      </c>
      <c r="N253" s="152">
        <f t="shared" si="114"/>
        <v>25442260.817871094</v>
      </c>
    </row>
    <row r="254" spans="1:14" s="61" customFormat="1" ht="24" hidden="1">
      <c r="A254" s="67" t="s">
        <v>83</v>
      </c>
      <c r="B254" s="68" t="s">
        <v>434</v>
      </c>
      <c r="C254" s="40">
        <v>27000000</v>
      </c>
      <c r="D254" s="65">
        <v>1.04</v>
      </c>
      <c r="E254" s="154">
        <v>27000000</v>
      </c>
      <c r="F254" s="152">
        <f t="shared" si="82"/>
        <v>28080000</v>
      </c>
      <c r="G254" s="152">
        <f t="shared" si="107"/>
        <v>28781999.999999996</v>
      </c>
      <c r="H254" s="152">
        <f aca="true" t="shared" si="115" ref="H254:N254">+G254*1.025</f>
        <v>29501549.999999993</v>
      </c>
      <c r="I254" s="152">
        <f t="shared" si="115"/>
        <v>30239088.74999999</v>
      </c>
      <c r="J254" s="152">
        <f t="shared" si="115"/>
        <v>30995065.968749985</v>
      </c>
      <c r="K254" s="152">
        <f t="shared" si="115"/>
        <v>31769942.61796873</v>
      </c>
      <c r="L254" s="152">
        <f t="shared" si="115"/>
        <v>32564191.183417946</v>
      </c>
      <c r="M254" s="152">
        <f t="shared" si="115"/>
        <v>33378295.963003393</v>
      </c>
      <c r="N254" s="152">
        <f t="shared" si="115"/>
        <v>34212753.36207847</v>
      </c>
    </row>
    <row r="255" spans="1:14" s="61" customFormat="1" ht="24" hidden="1">
      <c r="A255" s="67" t="s">
        <v>84</v>
      </c>
      <c r="B255" s="68" t="s">
        <v>435</v>
      </c>
      <c r="C255" s="40">
        <v>14000000</v>
      </c>
      <c r="D255" s="65">
        <v>1.04</v>
      </c>
      <c r="E255" s="154">
        <v>14000000</v>
      </c>
      <c r="F255" s="152">
        <f t="shared" si="82"/>
        <v>14560000</v>
      </c>
      <c r="G255" s="152">
        <f t="shared" si="107"/>
        <v>14923999.999999998</v>
      </c>
      <c r="H255" s="152">
        <f aca="true" t="shared" si="116" ref="H255:N255">+G255*1.025</f>
        <v>15297099.999999996</v>
      </c>
      <c r="I255" s="152">
        <f t="shared" si="116"/>
        <v>15679527.499999994</v>
      </c>
      <c r="J255" s="152">
        <f t="shared" si="116"/>
        <v>16071515.687499993</v>
      </c>
      <c r="K255" s="152">
        <f t="shared" si="116"/>
        <v>16473303.579687491</v>
      </c>
      <c r="L255" s="152">
        <f t="shared" si="116"/>
        <v>16885136.169179678</v>
      </c>
      <c r="M255" s="152">
        <f t="shared" si="116"/>
        <v>17307264.57340917</v>
      </c>
      <c r="N255" s="152">
        <f t="shared" si="116"/>
        <v>17739946.187744398</v>
      </c>
    </row>
    <row r="256" spans="1:14" s="61" customFormat="1" ht="48" hidden="1">
      <c r="A256" s="67" t="s">
        <v>85</v>
      </c>
      <c r="B256" s="68" t="s">
        <v>436</v>
      </c>
      <c r="C256" s="40">
        <v>12000000</v>
      </c>
      <c r="D256" s="65">
        <v>1.04</v>
      </c>
      <c r="E256" s="154">
        <v>12000000</v>
      </c>
      <c r="F256" s="152">
        <f t="shared" si="82"/>
        <v>12480000</v>
      </c>
      <c r="G256" s="152">
        <f t="shared" si="107"/>
        <v>12791999.999999998</v>
      </c>
      <c r="H256" s="152">
        <f aca="true" t="shared" si="117" ref="H256:N256">+G256*1.025</f>
        <v>13111799.999999996</v>
      </c>
      <c r="I256" s="152">
        <f t="shared" si="117"/>
        <v>13439594.999999994</v>
      </c>
      <c r="J256" s="152">
        <f t="shared" si="117"/>
        <v>13775584.874999993</v>
      </c>
      <c r="K256" s="152">
        <f t="shared" si="117"/>
        <v>14119974.496874992</v>
      </c>
      <c r="L256" s="152">
        <f t="shared" si="117"/>
        <v>14472973.859296866</v>
      </c>
      <c r="M256" s="152">
        <f t="shared" si="117"/>
        <v>14834798.205779286</v>
      </c>
      <c r="N256" s="152">
        <f t="shared" si="117"/>
        <v>15205668.160923768</v>
      </c>
    </row>
    <row r="257" spans="1:14" s="61" customFormat="1" ht="24" hidden="1">
      <c r="A257" s="67" t="s">
        <v>86</v>
      </c>
      <c r="B257" s="68" t="s">
        <v>410</v>
      </c>
      <c r="C257" s="40">
        <v>1000</v>
      </c>
      <c r="D257" s="65">
        <v>1.04</v>
      </c>
      <c r="E257" s="154">
        <v>1000</v>
      </c>
      <c r="F257" s="152">
        <f t="shared" si="82"/>
        <v>1040</v>
      </c>
      <c r="G257" s="152">
        <f t="shared" si="107"/>
        <v>1066</v>
      </c>
      <c r="H257" s="152">
        <f aca="true" t="shared" si="118" ref="H257:N257">+G257*1.025</f>
        <v>1092.6499999999999</v>
      </c>
      <c r="I257" s="152">
        <f t="shared" si="118"/>
        <v>1119.9662499999997</v>
      </c>
      <c r="J257" s="152">
        <f t="shared" si="118"/>
        <v>1147.9654062499997</v>
      </c>
      <c r="K257" s="152">
        <f t="shared" si="118"/>
        <v>1176.6645414062496</v>
      </c>
      <c r="L257" s="152">
        <f t="shared" si="118"/>
        <v>1206.0811549414057</v>
      </c>
      <c r="M257" s="152">
        <f t="shared" si="118"/>
        <v>1236.2331838149407</v>
      </c>
      <c r="N257" s="152">
        <f t="shared" si="118"/>
        <v>1267.1390134103142</v>
      </c>
    </row>
    <row r="258" spans="1:14" s="61" customFormat="1" ht="12">
      <c r="A258" s="64" t="s">
        <v>87</v>
      </c>
      <c r="B258" s="72" t="s">
        <v>224</v>
      </c>
      <c r="C258" s="59">
        <f>+C259+C262+C266+C270+C273+C276+C279+C285+C287+C292</f>
        <v>822500958.0033333</v>
      </c>
      <c r="D258" s="63"/>
      <c r="E258" s="159">
        <f>817000000-168000000</f>
        <v>649000000</v>
      </c>
      <c r="F258" s="152">
        <f t="shared" si="82"/>
        <v>674960000</v>
      </c>
      <c r="G258" s="152">
        <f t="shared" si="107"/>
        <v>691833999.9999999</v>
      </c>
      <c r="H258" s="152">
        <f aca="true" t="shared" si="119" ref="H258:N258">+G258*1.025</f>
        <v>709129849.9999998</v>
      </c>
      <c r="I258" s="152">
        <f t="shared" si="119"/>
        <v>726858096.2499996</v>
      </c>
      <c r="J258" s="152">
        <f t="shared" si="119"/>
        <v>745029548.6562495</v>
      </c>
      <c r="K258" s="152">
        <f t="shared" si="119"/>
        <v>763655287.3726557</v>
      </c>
      <c r="L258" s="152">
        <f t="shared" si="119"/>
        <v>782746669.556972</v>
      </c>
      <c r="M258" s="152">
        <f t="shared" si="119"/>
        <v>802315336.2958963</v>
      </c>
      <c r="N258" s="152">
        <f t="shared" si="119"/>
        <v>822373219.7032937</v>
      </c>
    </row>
    <row r="259" spans="1:14" s="66" customFormat="1" ht="12" hidden="1">
      <c r="A259" s="64" t="s">
        <v>225</v>
      </c>
      <c r="B259" s="58" t="s">
        <v>440</v>
      </c>
      <c r="C259" s="59">
        <f>SUM(C260:C261)</f>
        <v>70619145</v>
      </c>
      <c r="D259" s="65"/>
      <c r="E259" s="159">
        <f>SUM(E260:E261)</f>
        <v>70619145</v>
      </c>
      <c r="F259" s="152">
        <f t="shared" si="82"/>
        <v>73443910.8</v>
      </c>
      <c r="G259" s="152">
        <f t="shared" si="107"/>
        <v>75280008.57</v>
      </c>
      <c r="H259" s="152">
        <f aca="true" t="shared" si="120" ref="H259:N259">+G259*1.025</f>
        <v>77162008.78424999</v>
      </c>
      <c r="I259" s="152">
        <f t="shared" si="120"/>
        <v>79091059.00385623</v>
      </c>
      <c r="J259" s="152">
        <f t="shared" si="120"/>
        <v>81068335.47895263</v>
      </c>
      <c r="K259" s="152">
        <f t="shared" si="120"/>
        <v>83095043.86592644</v>
      </c>
      <c r="L259" s="152">
        <f t="shared" si="120"/>
        <v>85172419.9625746</v>
      </c>
      <c r="M259" s="152">
        <f t="shared" si="120"/>
        <v>87301730.46163896</v>
      </c>
      <c r="N259" s="152">
        <f t="shared" si="120"/>
        <v>89484273.72317992</v>
      </c>
    </row>
    <row r="260" spans="1:14" s="61" customFormat="1" ht="24" hidden="1">
      <c r="A260" s="67" t="s">
        <v>168</v>
      </c>
      <c r="B260" s="68" t="s">
        <v>441</v>
      </c>
      <c r="C260" s="40">
        <v>70618145</v>
      </c>
      <c r="D260" s="65">
        <v>1.04</v>
      </c>
      <c r="E260" s="154">
        <v>70618145</v>
      </c>
      <c r="F260" s="152">
        <f t="shared" si="82"/>
        <v>73442870.8</v>
      </c>
      <c r="G260" s="152">
        <f t="shared" si="107"/>
        <v>75278942.57</v>
      </c>
      <c r="H260" s="152">
        <f aca="true" t="shared" si="121" ref="H260:N260">+G260*1.025</f>
        <v>77160916.13424999</v>
      </c>
      <c r="I260" s="152">
        <f t="shared" si="121"/>
        <v>79089939.03760622</v>
      </c>
      <c r="J260" s="152">
        <f t="shared" si="121"/>
        <v>81067187.51354638</v>
      </c>
      <c r="K260" s="152">
        <f t="shared" si="121"/>
        <v>83093867.20138504</v>
      </c>
      <c r="L260" s="152">
        <f t="shared" si="121"/>
        <v>85171213.88141966</v>
      </c>
      <c r="M260" s="152">
        <f t="shared" si="121"/>
        <v>87300494.22845514</v>
      </c>
      <c r="N260" s="152">
        <f t="shared" si="121"/>
        <v>89483006.58416651</v>
      </c>
    </row>
    <row r="261" spans="1:14" s="61" customFormat="1" ht="24" hidden="1">
      <c r="A261" s="67" t="s">
        <v>169</v>
      </c>
      <c r="B261" s="68" t="s">
        <v>410</v>
      </c>
      <c r="C261" s="40">
        <v>1000</v>
      </c>
      <c r="D261" s="65">
        <v>1.04</v>
      </c>
      <c r="E261" s="154">
        <v>1000</v>
      </c>
      <c r="F261" s="152">
        <f t="shared" si="82"/>
        <v>1040</v>
      </c>
      <c r="G261" s="152">
        <f t="shared" si="107"/>
        <v>1066</v>
      </c>
      <c r="H261" s="152">
        <f aca="true" t="shared" si="122" ref="H261:N261">+G261*1.025</f>
        <v>1092.6499999999999</v>
      </c>
      <c r="I261" s="152">
        <f t="shared" si="122"/>
        <v>1119.9662499999997</v>
      </c>
      <c r="J261" s="152">
        <f t="shared" si="122"/>
        <v>1147.9654062499997</v>
      </c>
      <c r="K261" s="152">
        <f t="shared" si="122"/>
        <v>1176.6645414062496</v>
      </c>
      <c r="L261" s="152">
        <f t="shared" si="122"/>
        <v>1206.0811549414057</v>
      </c>
      <c r="M261" s="152">
        <f t="shared" si="122"/>
        <v>1236.2331838149407</v>
      </c>
      <c r="N261" s="152">
        <f t="shared" si="122"/>
        <v>1267.1390134103142</v>
      </c>
    </row>
    <row r="262" spans="1:14" s="66" customFormat="1" ht="12" hidden="1">
      <c r="A262" s="64" t="s">
        <v>226</v>
      </c>
      <c r="B262" s="58" t="s">
        <v>442</v>
      </c>
      <c r="C262" s="59">
        <f>SUM(C263:C265)</f>
        <v>150001000</v>
      </c>
      <c r="D262" s="65"/>
      <c r="E262" s="159">
        <f>SUM(E263:E265)</f>
        <v>150001000</v>
      </c>
      <c r="F262" s="152">
        <f t="shared" si="82"/>
        <v>156001040</v>
      </c>
      <c r="G262" s="152">
        <f t="shared" si="107"/>
        <v>159901066</v>
      </c>
      <c r="H262" s="152">
        <f aca="true" t="shared" si="123" ref="H262:N262">+G262*1.025</f>
        <v>163898592.64999998</v>
      </c>
      <c r="I262" s="152">
        <f t="shared" si="123"/>
        <v>167996057.46624997</v>
      </c>
      <c r="J262" s="152">
        <f t="shared" si="123"/>
        <v>172195958.9029062</v>
      </c>
      <c r="K262" s="152">
        <f t="shared" si="123"/>
        <v>176500857.87547886</v>
      </c>
      <c r="L262" s="152">
        <f t="shared" si="123"/>
        <v>180913379.32236582</v>
      </c>
      <c r="M262" s="152">
        <f t="shared" si="123"/>
        <v>185436213.80542496</v>
      </c>
      <c r="N262" s="152">
        <f t="shared" si="123"/>
        <v>190072119.15056056</v>
      </c>
    </row>
    <row r="263" spans="1:14" s="61" customFormat="1" ht="36" hidden="1">
      <c r="A263" s="67" t="s">
        <v>170</v>
      </c>
      <c r="B263" s="68" t="s">
        <v>443</v>
      </c>
      <c r="C263" s="40">
        <v>75000000</v>
      </c>
      <c r="D263" s="65">
        <v>1.04</v>
      </c>
      <c r="E263" s="154">
        <v>75000000</v>
      </c>
      <c r="F263" s="152">
        <f t="shared" si="82"/>
        <v>78000000</v>
      </c>
      <c r="G263" s="152">
        <f t="shared" si="107"/>
        <v>79950000</v>
      </c>
      <c r="H263" s="152">
        <f aca="true" t="shared" si="124" ref="H263:N263">+G263*1.025</f>
        <v>81948750</v>
      </c>
      <c r="I263" s="152">
        <f t="shared" si="124"/>
        <v>83997468.75</v>
      </c>
      <c r="J263" s="152">
        <f t="shared" si="124"/>
        <v>86097405.46874999</v>
      </c>
      <c r="K263" s="152">
        <f t="shared" si="124"/>
        <v>88249840.60546872</v>
      </c>
      <c r="L263" s="152">
        <f t="shared" si="124"/>
        <v>90456086.62060542</v>
      </c>
      <c r="M263" s="152">
        <f t="shared" si="124"/>
        <v>92717488.78612055</v>
      </c>
      <c r="N263" s="152">
        <f t="shared" si="124"/>
        <v>95035426.00577356</v>
      </c>
    </row>
    <row r="264" spans="1:14" s="61" customFormat="1" ht="36" hidden="1">
      <c r="A264" s="67" t="s">
        <v>171</v>
      </c>
      <c r="B264" s="68" t="s">
        <v>444</v>
      </c>
      <c r="C264" s="40">
        <v>75000000</v>
      </c>
      <c r="D264" s="65">
        <v>1.04</v>
      </c>
      <c r="E264" s="154">
        <v>75000000</v>
      </c>
      <c r="F264" s="152">
        <f t="shared" si="82"/>
        <v>78000000</v>
      </c>
      <c r="G264" s="152">
        <f t="shared" si="107"/>
        <v>79950000</v>
      </c>
      <c r="H264" s="152">
        <f aca="true" t="shared" si="125" ref="H264:N264">+G264*1.025</f>
        <v>81948750</v>
      </c>
      <c r="I264" s="152">
        <f t="shared" si="125"/>
        <v>83997468.75</v>
      </c>
      <c r="J264" s="152">
        <f t="shared" si="125"/>
        <v>86097405.46874999</v>
      </c>
      <c r="K264" s="152">
        <f t="shared" si="125"/>
        <v>88249840.60546872</v>
      </c>
      <c r="L264" s="152">
        <f t="shared" si="125"/>
        <v>90456086.62060542</v>
      </c>
      <c r="M264" s="152">
        <f t="shared" si="125"/>
        <v>92717488.78612055</v>
      </c>
      <c r="N264" s="152">
        <f t="shared" si="125"/>
        <v>95035426.00577356</v>
      </c>
    </row>
    <row r="265" spans="1:14" s="61" customFormat="1" ht="24" hidden="1">
      <c r="A265" s="67" t="s">
        <v>172</v>
      </c>
      <c r="B265" s="68" t="s">
        <v>410</v>
      </c>
      <c r="C265" s="40">
        <v>1000</v>
      </c>
      <c r="D265" s="65">
        <v>1.04</v>
      </c>
      <c r="E265" s="154">
        <v>1000</v>
      </c>
      <c r="F265" s="152">
        <f t="shared" si="82"/>
        <v>1040</v>
      </c>
      <c r="G265" s="152">
        <f t="shared" si="107"/>
        <v>1066</v>
      </c>
      <c r="H265" s="152">
        <f aca="true" t="shared" si="126" ref="H265:N265">+G265*1.025</f>
        <v>1092.6499999999999</v>
      </c>
      <c r="I265" s="152">
        <f t="shared" si="126"/>
        <v>1119.9662499999997</v>
      </c>
      <c r="J265" s="152">
        <f t="shared" si="126"/>
        <v>1147.9654062499997</v>
      </c>
      <c r="K265" s="152">
        <f t="shared" si="126"/>
        <v>1176.6645414062496</v>
      </c>
      <c r="L265" s="152">
        <f t="shared" si="126"/>
        <v>1206.0811549414057</v>
      </c>
      <c r="M265" s="152">
        <f t="shared" si="126"/>
        <v>1236.2331838149407</v>
      </c>
      <c r="N265" s="152">
        <f t="shared" si="126"/>
        <v>1267.1390134103142</v>
      </c>
    </row>
    <row r="266" spans="1:14" s="66" customFormat="1" ht="12" hidden="1">
      <c r="A266" s="64" t="s">
        <v>88</v>
      </c>
      <c r="B266" s="58" t="s">
        <v>445</v>
      </c>
      <c r="C266" s="59">
        <f>SUM(C267:C269)</f>
        <v>230001000</v>
      </c>
      <c r="D266" s="65"/>
      <c r="E266" s="159">
        <f>SUM(E267:E269)</f>
        <v>230001000</v>
      </c>
      <c r="F266" s="152">
        <f t="shared" si="82"/>
        <v>239201040</v>
      </c>
      <c r="G266" s="152">
        <f t="shared" si="107"/>
        <v>245181065.99999997</v>
      </c>
      <c r="H266" s="152">
        <f aca="true" t="shared" si="127" ref="H266:N266">+G266*1.025</f>
        <v>251310592.64999995</v>
      </c>
      <c r="I266" s="152">
        <f t="shared" si="127"/>
        <v>257593357.4662499</v>
      </c>
      <c r="J266" s="152">
        <f t="shared" si="127"/>
        <v>264033191.40290615</v>
      </c>
      <c r="K266" s="152">
        <f t="shared" si="127"/>
        <v>270634021.1879788</v>
      </c>
      <c r="L266" s="152">
        <f t="shared" si="127"/>
        <v>277399871.71767825</v>
      </c>
      <c r="M266" s="152">
        <f t="shared" si="127"/>
        <v>284334868.5106202</v>
      </c>
      <c r="N266" s="152">
        <f t="shared" si="127"/>
        <v>291443240.22338563</v>
      </c>
    </row>
    <row r="267" spans="1:14" s="61" customFormat="1" ht="12" hidden="1">
      <c r="A267" s="67" t="s">
        <v>173</v>
      </c>
      <c r="B267" s="68" t="s">
        <v>446</v>
      </c>
      <c r="C267" s="40">
        <v>140000000</v>
      </c>
      <c r="D267" s="65">
        <v>1.04</v>
      </c>
      <c r="E267" s="154">
        <v>140000000</v>
      </c>
      <c r="F267" s="152">
        <f t="shared" si="82"/>
        <v>145600000</v>
      </c>
      <c r="G267" s="152">
        <f t="shared" si="107"/>
        <v>149240000</v>
      </c>
      <c r="H267" s="152">
        <f aca="true" t="shared" si="128" ref="H267:N267">+G267*1.025</f>
        <v>152971000</v>
      </c>
      <c r="I267" s="152">
        <f t="shared" si="128"/>
        <v>156795275</v>
      </c>
      <c r="J267" s="152">
        <f t="shared" si="128"/>
        <v>160715156.875</v>
      </c>
      <c r="K267" s="152">
        <f t="shared" si="128"/>
        <v>164733035.796875</v>
      </c>
      <c r="L267" s="152">
        <f t="shared" si="128"/>
        <v>168851361.69179687</v>
      </c>
      <c r="M267" s="152">
        <f t="shared" si="128"/>
        <v>173072645.7340918</v>
      </c>
      <c r="N267" s="152">
        <f t="shared" si="128"/>
        <v>177399461.87744406</v>
      </c>
    </row>
    <row r="268" spans="1:14" s="61" customFormat="1" ht="12" hidden="1">
      <c r="A268" s="67" t="s">
        <v>174</v>
      </c>
      <c r="B268" s="68" t="s">
        <v>447</v>
      </c>
      <c r="C268" s="40">
        <v>90000000</v>
      </c>
      <c r="D268" s="65">
        <v>1.04</v>
      </c>
      <c r="E268" s="154">
        <v>90000000</v>
      </c>
      <c r="F268" s="152">
        <f t="shared" si="82"/>
        <v>93600000</v>
      </c>
      <c r="G268" s="152">
        <f t="shared" si="107"/>
        <v>95939999.99999999</v>
      </c>
      <c r="H268" s="152">
        <f aca="true" t="shared" si="129" ref="H268:N268">+G268*1.025</f>
        <v>98338499.99999997</v>
      </c>
      <c r="I268" s="152">
        <f t="shared" si="129"/>
        <v>100796962.49999996</v>
      </c>
      <c r="J268" s="152">
        <f t="shared" si="129"/>
        <v>103316886.56249994</v>
      </c>
      <c r="K268" s="152">
        <f t="shared" si="129"/>
        <v>105899808.72656243</v>
      </c>
      <c r="L268" s="152">
        <f t="shared" si="129"/>
        <v>108547303.94472648</v>
      </c>
      <c r="M268" s="152">
        <f t="shared" si="129"/>
        <v>111260986.54334463</v>
      </c>
      <c r="N268" s="152">
        <f t="shared" si="129"/>
        <v>114042511.20692824</v>
      </c>
    </row>
    <row r="269" spans="1:14" s="61" customFormat="1" ht="24" hidden="1">
      <c r="A269" s="67" t="s">
        <v>175</v>
      </c>
      <c r="B269" s="68" t="s">
        <v>410</v>
      </c>
      <c r="C269" s="40">
        <v>1000</v>
      </c>
      <c r="D269" s="65">
        <v>1.04</v>
      </c>
      <c r="E269" s="154">
        <v>1000</v>
      </c>
      <c r="F269" s="152">
        <f t="shared" si="82"/>
        <v>1040</v>
      </c>
      <c r="G269" s="152">
        <f t="shared" si="107"/>
        <v>1066</v>
      </c>
      <c r="H269" s="152">
        <f aca="true" t="shared" si="130" ref="H269:N269">+G269*1.025</f>
        <v>1092.6499999999999</v>
      </c>
      <c r="I269" s="152">
        <f t="shared" si="130"/>
        <v>1119.9662499999997</v>
      </c>
      <c r="J269" s="152">
        <f t="shared" si="130"/>
        <v>1147.9654062499997</v>
      </c>
      <c r="K269" s="152">
        <f t="shared" si="130"/>
        <v>1176.6645414062496</v>
      </c>
      <c r="L269" s="152">
        <f t="shared" si="130"/>
        <v>1206.0811549414057</v>
      </c>
      <c r="M269" s="152">
        <f t="shared" si="130"/>
        <v>1236.2331838149407</v>
      </c>
      <c r="N269" s="152">
        <f t="shared" si="130"/>
        <v>1267.1390134103142</v>
      </c>
    </row>
    <row r="270" spans="1:14" s="66" customFormat="1" ht="12" hidden="1">
      <c r="A270" s="64" t="s">
        <v>227</v>
      </c>
      <c r="B270" s="58" t="s">
        <v>448</v>
      </c>
      <c r="C270" s="59">
        <f>SUM(C271:C272)</f>
        <v>15001000</v>
      </c>
      <c r="D270" s="65"/>
      <c r="E270" s="159">
        <f>SUM(E271:E272)</f>
        <v>15001000</v>
      </c>
      <c r="F270" s="152">
        <f t="shared" si="82"/>
        <v>15601040</v>
      </c>
      <c r="G270" s="152">
        <f t="shared" si="107"/>
        <v>15991065.999999998</v>
      </c>
      <c r="H270" s="152">
        <f aca="true" t="shared" si="131" ref="H270:N270">+G270*1.025</f>
        <v>16390842.649999997</v>
      </c>
      <c r="I270" s="152">
        <f t="shared" si="131"/>
        <v>16800613.716249995</v>
      </c>
      <c r="J270" s="152">
        <f t="shared" si="131"/>
        <v>17220629.059156243</v>
      </c>
      <c r="K270" s="152">
        <f t="shared" si="131"/>
        <v>17651144.785635147</v>
      </c>
      <c r="L270" s="152">
        <f t="shared" si="131"/>
        <v>18092423.405276023</v>
      </c>
      <c r="M270" s="152">
        <f t="shared" si="131"/>
        <v>18544733.99040792</v>
      </c>
      <c r="N270" s="152">
        <f t="shared" si="131"/>
        <v>19008352.34016812</v>
      </c>
    </row>
    <row r="271" spans="1:14" s="61" customFormat="1" ht="24" hidden="1">
      <c r="A271" s="67" t="s">
        <v>176</v>
      </c>
      <c r="B271" s="68" t="s">
        <v>449</v>
      </c>
      <c r="C271" s="40">
        <v>15000000</v>
      </c>
      <c r="D271" s="65">
        <v>1.04</v>
      </c>
      <c r="E271" s="154">
        <v>15000000</v>
      </c>
      <c r="F271" s="152">
        <f t="shared" si="82"/>
        <v>15600000</v>
      </c>
      <c r="G271" s="152">
        <f t="shared" si="107"/>
        <v>15989999.999999998</v>
      </c>
      <c r="H271" s="152">
        <f aca="true" t="shared" si="132" ref="H271:N271">+G271*1.025</f>
        <v>16389749.999999996</v>
      </c>
      <c r="I271" s="152">
        <f t="shared" si="132"/>
        <v>16799493.749999996</v>
      </c>
      <c r="J271" s="152">
        <f t="shared" si="132"/>
        <v>17219481.093749996</v>
      </c>
      <c r="K271" s="152">
        <f t="shared" si="132"/>
        <v>17649968.121093746</v>
      </c>
      <c r="L271" s="152">
        <f t="shared" si="132"/>
        <v>18091217.324121088</v>
      </c>
      <c r="M271" s="152">
        <f t="shared" si="132"/>
        <v>18543497.757224113</v>
      </c>
      <c r="N271" s="152">
        <f t="shared" si="132"/>
        <v>19007085.201154713</v>
      </c>
    </row>
    <row r="272" spans="1:14" s="61" customFormat="1" ht="24" hidden="1">
      <c r="A272" s="67" t="s">
        <v>177</v>
      </c>
      <c r="B272" s="68" t="s">
        <v>410</v>
      </c>
      <c r="C272" s="40">
        <v>1000</v>
      </c>
      <c r="D272" s="65">
        <v>1.04</v>
      </c>
      <c r="E272" s="154">
        <v>1000</v>
      </c>
      <c r="F272" s="152">
        <f t="shared" si="82"/>
        <v>1040</v>
      </c>
      <c r="G272" s="152">
        <f t="shared" si="107"/>
        <v>1066</v>
      </c>
      <c r="H272" s="152">
        <f aca="true" t="shared" si="133" ref="H272:N272">+G272*1.025</f>
        <v>1092.6499999999999</v>
      </c>
      <c r="I272" s="152">
        <f t="shared" si="133"/>
        <v>1119.9662499999997</v>
      </c>
      <c r="J272" s="152">
        <f t="shared" si="133"/>
        <v>1147.9654062499997</v>
      </c>
      <c r="K272" s="152">
        <f t="shared" si="133"/>
        <v>1176.6645414062496</v>
      </c>
      <c r="L272" s="152">
        <f t="shared" si="133"/>
        <v>1206.0811549414057</v>
      </c>
      <c r="M272" s="152">
        <f t="shared" si="133"/>
        <v>1236.2331838149407</v>
      </c>
      <c r="N272" s="152">
        <f t="shared" si="133"/>
        <v>1267.1390134103142</v>
      </c>
    </row>
    <row r="273" spans="1:14" s="66" customFormat="1" ht="12" hidden="1">
      <c r="A273" s="64" t="s">
        <v>228</v>
      </c>
      <c r="B273" s="58" t="s">
        <v>450</v>
      </c>
      <c r="C273" s="59">
        <f>SUM(C274:C275)</f>
        <v>45001000</v>
      </c>
      <c r="D273" s="65"/>
      <c r="E273" s="159">
        <f>SUM(E274:E275)</f>
        <v>45001000</v>
      </c>
      <c r="F273" s="152">
        <f t="shared" si="82"/>
        <v>46801040</v>
      </c>
      <c r="G273" s="152">
        <f t="shared" si="107"/>
        <v>47971065.99999999</v>
      </c>
      <c r="H273" s="152">
        <f aca="true" t="shared" si="134" ref="H273:N273">+G273*1.025</f>
        <v>49170342.64999999</v>
      </c>
      <c r="I273" s="152">
        <f t="shared" si="134"/>
        <v>50399601.21624999</v>
      </c>
      <c r="J273" s="152">
        <f t="shared" si="134"/>
        <v>51659591.24665623</v>
      </c>
      <c r="K273" s="152">
        <f t="shared" si="134"/>
        <v>52951081.027822636</v>
      </c>
      <c r="L273" s="152">
        <f t="shared" si="134"/>
        <v>54274858.0535182</v>
      </c>
      <c r="M273" s="152">
        <f t="shared" si="134"/>
        <v>55631729.50485615</v>
      </c>
      <c r="N273" s="152">
        <f t="shared" si="134"/>
        <v>57022522.74247754</v>
      </c>
    </row>
    <row r="274" spans="1:14" s="61" customFormat="1" ht="12" hidden="1">
      <c r="A274" s="67" t="s">
        <v>178</v>
      </c>
      <c r="B274" s="68" t="s">
        <v>451</v>
      </c>
      <c r="C274" s="40">
        <v>45000000</v>
      </c>
      <c r="D274" s="65">
        <v>1.04</v>
      </c>
      <c r="E274" s="154">
        <v>45000000</v>
      </c>
      <c r="F274" s="152">
        <f t="shared" si="82"/>
        <v>46800000</v>
      </c>
      <c r="G274" s="152">
        <f t="shared" si="107"/>
        <v>47969999.99999999</v>
      </c>
      <c r="H274" s="152">
        <f aca="true" t="shared" si="135" ref="H274:N274">+G274*1.025</f>
        <v>49169249.999999985</v>
      </c>
      <c r="I274" s="152">
        <f t="shared" si="135"/>
        <v>50398481.24999998</v>
      </c>
      <c r="J274" s="152">
        <f t="shared" si="135"/>
        <v>51658443.28124997</v>
      </c>
      <c r="K274" s="152">
        <f t="shared" si="135"/>
        <v>52949904.36328121</v>
      </c>
      <c r="L274" s="152">
        <f t="shared" si="135"/>
        <v>54273651.97236324</v>
      </c>
      <c r="M274" s="152">
        <f t="shared" si="135"/>
        <v>55630493.271672316</v>
      </c>
      <c r="N274" s="152">
        <f t="shared" si="135"/>
        <v>57021255.60346412</v>
      </c>
    </row>
    <row r="275" spans="1:14" s="61" customFormat="1" ht="24" hidden="1">
      <c r="A275" s="67" t="s">
        <v>179</v>
      </c>
      <c r="B275" s="68" t="s">
        <v>410</v>
      </c>
      <c r="C275" s="40">
        <v>1000</v>
      </c>
      <c r="D275" s="65">
        <v>1.04</v>
      </c>
      <c r="E275" s="154">
        <v>1000</v>
      </c>
      <c r="F275" s="152">
        <f t="shared" si="82"/>
        <v>1040</v>
      </c>
      <c r="G275" s="152">
        <f t="shared" si="107"/>
        <v>1066</v>
      </c>
      <c r="H275" s="152">
        <f aca="true" t="shared" si="136" ref="H275:N275">+G275*1.025</f>
        <v>1092.6499999999999</v>
      </c>
      <c r="I275" s="152">
        <f t="shared" si="136"/>
        <v>1119.9662499999997</v>
      </c>
      <c r="J275" s="152">
        <f t="shared" si="136"/>
        <v>1147.9654062499997</v>
      </c>
      <c r="K275" s="152">
        <f t="shared" si="136"/>
        <v>1176.6645414062496</v>
      </c>
      <c r="L275" s="152">
        <f t="shared" si="136"/>
        <v>1206.0811549414057</v>
      </c>
      <c r="M275" s="152">
        <f t="shared" si="136"/>
        <v>1236.2331838149407</v>
      </c>
      <c r="N275" s="152">
        <f t="shared" si="136"/>
        <v>1267.1390134103142</v>
      </c>
    </row>
    <row r="276" spans="1:14" s="66" customFormat="1" ht="12" hidden="1">
      <c r="A276" s="64" t="s">
        <v>229</v>
      </c>
      <c r="B276" s="58" t="s">
        <v>452</v>
      </c>
      <c r="C276" s="59">
        <f>SUM(C277:C278)</f>
        <v>20001000</v>
      </c>
      <c r="D276" s="65"/>
      <c r="E276" s="159">
        <f>SUM(E277:E278)</f>
        <v>20001000</v>
      </c>
      <c r="F276" s="152">
        <f aca="true" t="shared" si="137" ref="F276:F339">+E276*1.04</f>
        <v>20801040</v>
      </c>
      <c r="G276" s="152">
        <f t="shared" si="107"/>
        <v>21321066</v>
      </c>
      <c r="H276" s="152">
        <f aca="true" t="shared" si="138" ref="H276:N276">+G276*1.025</f>
        <v>21854092.65</v>
      </c>
      <c r="I276" s="152">
        <f t="shared" si="138"/>
        <v>22400444.966249995</v>
      </c>
      <c r="J276" s="152">
        <f t="shared" si="138"/>
        <v>22960456.090406243</v>
      </c>
      <c r="K276" s="152">
        <f t="shared" si="138"/>
        <v>23534467.492666397</v>
      </c>
      <c r="L276" s="152">
        <f t="shared" si="138"/>
        <v>24122829.179983053</v>
      </c>
      <c r="M276" s="152">
        <f t="shared" si="138"/>
        <v>24725899.909482628</v>
      </c>
      <c r="N276" s="152">
        <f t="shared" si="138"/>
        <v>25344047.407219693</v>
      </c>
    </row>
    <row r="277" spans="1:14" s="61" customFormat="1" ht="48" hidden="1">
      <c r="A277" s="67" t="s">
        <v>180</v>
      </c>
      <c r="B277" s="68" t="s">
        <v>453</v>
      </c>
      <c r="C277" s="40">
        <v>20000000</v>
      </c>
      <c r="D277" s="65">
        <v>1.04</v>
      </c>
      <c r="E277" s="154">
        <v>20000000</v>
      </c>
      <c r="F277" s="152">
        <f t="shared" si="137"/>
        <v>20800000</v>
      </c>
      <c r="G277" s="152">
        <f t="shared" si="107"/>
        <v>21320000</v>
      </c>
      <c r="H277" s="152">
        <f aca="true" t="shared" si="139" ref="H277:N277">+G277*1.025</f>
        <v>21852999.999999996</v>
      </c>
      <c r="I277" s="152">
        <f t="shared" si="139"/>
        <v>22399324.999999993</v>
      </c>
      <c r="J277" s="152">
        <f t="shared" si="139"/>
        <v>22959308.12499999</v>
      </c>
      <c r="K277" s="152">
        <f t="shared" si="139"/>
        <v>23533290.828124985</v>
      </c>
      <c r="L277" s="152">
        <f t="shared" si="139"/>
        <v>24121623.098828107</v>
      </c>
      <c r="M277" s="152">
        <f t="shared" si="139"/>
        <v>24724663.67629881</v>
      </c>
      <c r="N277" s="152">
        <f t="shared" si="139"/>
        <v>25342780.268206276</v>
      </c>
    </row>
    <row r="278" spans="1:14" s="61" customFormat="1" ht="24" hidden="1">
      <c r="A278" s="67" t="s">
        <v>181</v>
      </c>
      <c r="B278" s="68" t="s">
        <v>410</v>
      </c>
      <c r="C278" s="40">
        <v>1000</v>
      </c>
      <c r="D278" s="65">
        <v>1.04</v>
      </c>
      <c r="E278" s="154">
        <v>1000</v>
      </c>
      <c r="F278" s="152">
        <f t="shared" si="137"/>
        <v>1040</v>
      </c>
      <c r="G278" s="152">
        <f t="shared" si="107"/>
        <v>1066</v>
      </c>
      <c r="H278" s="152">
        <f aca="true" t="shared" si="140" ref="H278:N287">+G278*1.025</f>
        <v>1092.6499999999999</v>
      </c>
      <c r="I278" s="152">
        <f t="shared" si="140"/>
        <v>1119.9662499999997</v>
      </c>
      <c r="J278" s="152">
        <f t="shared" si="140"/>
        <v>1147.9654062499997</v>
      </c>
      <c r="K278" s="152">
        <f t="shared" si="140"/>
        <v>1176.6645414062496</v>
      </c>
      <c r="L278" s="152">
        <f t="shared" si="140"/>
        <v>1206.0811549414057</v>
      </c>
      <c r="M278" s="152">
        <f t="shared" si="140"/>
        <v>1236.2331838149407</v>
      </c>
      <c r="N278" s="152">
        <f t="shared" si="140"/>
        <v>1267.1390134103142</v>
      </c>
    </row>
    <row r="279" spans="1:14" s="66" customFormat="1" ht="12" hidden="1">
      <c r="A279" s="64" t="s">
        <v>230</v>
      </c>
      <c r="B279" s="58" t="s">
        <v>454</v>
      </c>
      <c r="C279" s="59">
        <f>SUM(C280:C284)</f>
        <v>122501000</v>
      </c>
      <c r="D279" s="65"/>
      <c r="E279" s="159">
        <f>SUM(E280:E284)</f>
        <v>122501000</v>
      </c>
      <c r="F279" s="152">
        <f t="shared" si="137"/>
        <v>127401040</v>
      </c>
      <c r="G279" s="152">
        <f aca="true" t="shared" si="141" ref="G279:G310">+F279*1.025</f>
        <v>130586065.99999999</v>
      </c>
      <c r="H279" s="152">
        <f t="shared" si="140"/>
        <v>133850717.64999998</v>
      </c>
      <c r="I279" s="152">
        <f t="shared" si="140"/>
        <v>137196985.59124997</v>
      </c>
      <c r="J279" s="152">
        <f t="shared" si="140"/>
        <v>140626910.2310312</v>
      </c>
      <c r="K279" s="152">
        <f t="shared" si="140"/>
        <v>144142582.986807</v>
      </c>
      <c r="L279" s="152">
        <f t="shared" si="140"/>
        <v>147746147.56147715</v>
      </c>
      <c r="M279" s="152">
        <f t="shared" si="140"/>
        <v>151439801.25051406</v>
      </c>
      <c r="N279" s="152">
        <f t="shared" si="140"/>
        <v>155225796.2817769</v>
      </c>
    </row>
    <row r="280" spans="1:14" s="61" customFormat="1" ht="24" hidden="1">
      <c r="A280" s="67" t="s">
        <v>182</v>
      </c>
      <c r="B280" s="68" t="s">
        <v>455</v>
      </c>
      <c r="C280" s="40">
        <v>15000000</v>
      </c>
      <c r="D280" s="65">
        <v>1.04</v>
      </c>
      <c r="E280" s="154">
        <v>15000000</v>
      </c>
      <c r="F280" s="152">
        <f t="shared" si="137"/>
        <v>15600000</v>
      </c>
      <c r="G280" s="152">
        <f t="shared" si="141"/>
        <v>15989999.999999998</v>
      </c>
      <c r="H280" s="152">
        <f t="shared" si="140"/>
        <v>16389749.999999996</v>
      </c>
      <c r="I280" s="152">
        <f t="shared" si="140"/>
        <v>16799493.749999996</v>
      </c>
      <c r="J280" s="152">
        <f t="shared" si="140"/>
        <v>17219481.093749996</v>
      </c>
      <c r="K280" s="152">
        <f t="shared" si="140"/>
        <v>17649968.121093746</v>
      </c>
      <c r="L280" s="152">
        <f t="shared" si="140"/>
        <v>18091217.324121088</v>
      </c>
      <c r="M280" s="152">
        <f t="shared" si="140"/>
        <v>18543497.757224113</v>
      </c>
      <c r="N280" s="152">
        <f t="shared" si="140"/>
        <v>19007085.201154713</v>
      </c>
    </row>
    <row r="281" spans="1:14" s="61" customFormat="1" ht="24" hidden="1">
      <c r="A281" s="67" t="s">
        <v>183</v>
      </c>
      <c r="B281" s="68" t="s">
        <v>456</v>
      </c>
      <c r="C281" s="40">
        <v>15000000</v>
      </c>
      <c r="D281" s="65">
        <v>1.04</v>
      </c>
      <c r="E281" s="154">
        <v>15000000</v>
      </c>
      <c r="F281" s="152">
        <f t="shared" si="137"/>
        <v>15600000</v>
      </c>
      <c r="G281" s="152">
        <f t="shared" si="141"/>
        <v>15989999.999999998</v>
      </c>
      <c r="H281" s="152">
        <f t="shared" si="140"/>
        <v>16389749.999999996</v>
      </c>
      <c r="I281" s="152">
        <f t="shared" si="140"/>
        <v>16799493.749999996</v>
      </c>
      <c r="J281" s="152">
        <f t="shared" si="140"/>
        <v>17219481.093749996</v>
      </c>
      <c r="K281" s="152">
        <f t="shared" si="140"/>
        <v>17649968.121093746</v>
      </c>
      <c r="L281" s="152">
        <f t="shared" si="140"/>
        <v>18091217.324121088</v>
      </c>
      <c r="M281" s="152">
        <f t="shared" si="140"/>
        <v>18543497.757224113</v>
      </c>
      <c r="N281" s="152">
        <f t="shared" si="140"/>
        <v>19007085.201154713</v>
      </c>
    </row>
    <row r="282" spans="1:14" s="61" customFormat="1" ht="12" hidden="1">
      <c r="A282" s="67" t="s">
        <v>184</v>
      </c>
      <c r="B282" s="71" t="s">
        <v>94</v>
      </c>
      <c r="C282" s="40">
        <v>50000000</v>
      </c>
      <c r="D282" s="65">
        <v>1.04</v>
      </c>
      <c r="E282" s="154">
        <v>50000000</v>
      </c>
      <c r="F282" s="152">
        <f t="shared" si="137"/>
        <v>52000000</v>
      </c>
      <c r="G282" s="152">
        <f t="shared" si="141"/>
        <v>53299999.99999999</v>
      </c>
      <c r="H282" s="152">
        <f t="shared" si="140"/>
        <v>54632499.999999985</v>
      </c>
      <c r="I282" s="152">
        <f t="shared" si="140"/>
        <v>55998312.49999998</v>
      </c>
      <c r="J282" s="152">
        <f t="shared" si="140"/>
        <v>57398270.31249997</v>
      </c>
      <c r="K282" s="152">
        <f t="shared" si="140"/>
        <v>58833227.07031246</v>
      </c>
      <c r="L282" s="152">
        <f t="shared" si="140"/>
        <v>60304057.74707027</v>
      </c>
      <c r="M282" s="152">
        <f t="shared" si="140"/>
        <v>61811659.19074702</v>
      </c>
      <c r="N282" s="152">
        <f t="shared" si="140"/>
        <v>63356950.67051569</v>
      </c>
    </row>
    <row r="283" spans="1:14" s="61" customFormat="1" ht="36" hidden="1">
      <c r="A283" s="67" t="s">
        <v>185</v>
      </c>
      <c r="B283" s="71" t="s">
        <v>95</v>
      </c>
      <c r="C283" s="40">
        <v>42500000</v>
      </c>
      <c r="D283" s="65">
        <v>1.04</v>
      </c>
      <c r="E283" s="154">
        <v>42500000</v>
      </c>
      <c r="F283" s="152">
        <f t="shared" si="137"/>
        <v>44200000</v>
      </c>
      <c r="G283" s="152">
        <f t="shared" si="141"/>
        <v>45304999.99999999</v>
      </c>
      <c r="H283" s="152">
        <f t="shared" si="140"/>
        <v>46437624.999999985</v>
      </c>
      <c r="I283" s="152">
        <f t="shared" si="140"/>
        <v>47598565.62499998</v>
      </c>
      <c r="J283" s="152">
        <f t="shared" si="140"/>
        <v>48788529.76562497</v>
      </c>
      <c r="K283" s="152">
        <f t="shared" si="140"/>
        <v>50008243.00976559</v>
      </c>
      <c r="L283" s="152">
        <f t="shared" si="140"/>
        <v>51258449.085009724</v>
      </c>
      <c r="M283" s="152">
        <f t="shared" si="140"/>
        <v>52539910.31213496</v>
      </c>
      <c r="N283" s="152">
        <f t="shared" si="140"/>
        <v>53853408.069938324</v>
      </c>
    </row>
    <row r="284" spans="1:14" s="61" customFormat="1" ht="24" hidden="1">
      <c r="A284" s="67" t="s">
        <v>186</v>
      </c>
      <c r="B284" s="68" t="s">
        <v>410</v>
      </c>
      <c r="C284" s="40">
        <v>1000</v>
      </c>
      <c r="D284" s="65">
        <v>1.04</v>
      </c>
      <c r="E284" s="154">
        <v>1000</v>
      </c>
      <c r="F284" s="152">
        <f t="shared" si="137"/>
        <v>1040</v>
      </c>
      <c r="G284" s="152">
        <f t="shared" si="141"/>
        <v>1066</v>
      </c>
      <c r="H284" s="152">
        <f t="shared" si="140"/>
        <v>1092.6499999999999</v>
      </c>
      <c r="I284" s="152">
        <f t="shared" si="140"/>
        <v>1119.9662499999997</v>
      </c>
      <c r="J284" s="152">
        <f t="shared" si="140"/>
        <v>1147.9654062499997</v>
      </c>
      <c r="K284" s="152">
        <f t="shared" si="140"/>
        <v>1176.6645414062496</v>
      </c>
      <c r="L284" s="152">
        <f t="shared" si="140"/>
        <v>1206.0811549414057</v>
      </c>
      <c r="M284" s="152">
        <f t="shared" si="140"/>
        <v>1236.2331838149407</v>
      </c>
      <c r="N284" s="152">
        <f t="shared" si="140"/>
        <v>1267.1390134103142</v>
      </c>
    </row>
    <row r="285" spans="1:14" s="66" customFormat="1" ht="12" hidden="1">
      <c r="A285" s="64" t="s">
        <v>231</v>
      </c>
      <c r="B285" s="58" t="s">
        <v>457</v>
      </c>
      <c r="C285" s="59">
        <f>+C286</f>
        <v>20000000</v>
      </c>
      <c r="D285" s="65"/>
      <c r="E285" s="159">
        <f>+E286</f>
        <v>20000000</v>
      </c>
      <c r="F285" s="152">
        <f t="shared" si="137"/>
        <v>20800000</v>
      </c>
      <c r="G285" s="152">
        <f t="shared" si="141"/>
        <v>21320000</v>
      </c>
      <c r="H285" s="152">
        <f t="shared" si="140"/>
        <v>21852999.999999996</v>
      </c>
      <c r="I285" s="152">
        <f t="shared" si="140"/>
        <v>22399324.999999993</v>
      </c>
      <c r="J285" s="152">
        <f t="shared" si="140"/>
        <v>22959308.12499999</v>
      </c>
      <c r="K285" s="152">
        <f t="shared" si="140"/>
        <v>23533290.828124985</v>
      </c>
      <c r="L285" s="152">
        <f t="shared" si="140"/>
        <v>24121623.098828107</v>
      </c>
      <c r="M285" s="152">
        <f t="shared" si="140"/>
        <v>24724663.67629881</v>
      </c>
      <c r="N285" s="152">
        <f t="shared" si="140"/>
        <v>25342780.268206276</v>
      </c>
    </row>
    <row r="286" spans="1:14" s="61" customFormat="1" ht="24" hidden="1">
      <c r="A286" s="67" t="s">
        <v>187</v>
      </c>
      <c r="B286" s="68" t="s">
        <v>458</v>
      </c>
      <c r="C286" s="40">
        <v>20000000</v>
      </c>
      <c r="D286" s="65">
        <v>1.04</v>
      </c>
      <c r="E286" s="154">
        <v>20000000</v>
      </c>
      <c r="F286" s="152">
        <f t="shared" si="137"/>
        <v>20800000</v>
      </c>
      <c r="G286" s="152">
        <f t="shared" si="141"/>
        <v>21320000</v>
      </c>
      <c r="H286" s="152">
        <f t="shared" si="140"/>
        <v>21852999.999999996</v>
      </c>
      <c r="I286" s="152">
        <f t="shared" si="140"/>
        <v>22399324.999999993</v>
      </c>
      <c r="J286" s="152">
        <f t="shared" si="140"/>
        <v>22959308.12499999</v>
      </c>
      <c r="K286" s="152">
        <f t="shared" si="140"/>
        <v>23533290.828124985</v>
      </c>
      <c r="L286" s="152">
        <f t="shared" si="140"/>
        <v>24121623.098828107</v>
      </c>
      <c r="M286" s="152">
        <f t="shared" si="140"/>
        <v>24724663.67629881</v>
      </c>
      <c r="N286" s="152">
        <f t="shared" si="140"/>
        <v>25342780.268206276</v>
      </c>
    </row>
    <row r="287" spans="1:14" s="66" customFormat="1" ht="12" hidden="1">
      <c r="A287" s="64" t="s">
        <v>232</v>
      </c>
      <c r="B287" s="58" t="s">
        <v>459</v>
      </c>
      <c r="C287" s="59">
        <f>SUM(C288:C291)</f>
        <v>60001000</v>
      </c>
      <c r="D287" s="65"/>
      <c r="E287" s="159">
        <f>SUM(E288:E291)</f>
        <v>60001000</v>
      </c>
      <c r="F287" s="152">
        <f t="shared" si="137"/>
        <v>62401040</v>
      </c>
      <c r="G287" s="152">
        <f t="shared" si="141"/>
        <v>63961065.99999999</v>
      </c>
      <c r="H287" s="152">
        <f t="shared" si="140"/>
        <v>65560092.64999998</v>
      </c>
      <c r="I287" s="152">
        <f t="shared" si="140"/>
        <v>67199094.96624997</v>
      </c>
      <c r="J287" s="152">
        <f t="shared" si="140"/>
        <v>68879072.34040621</v>
      </c>
      <c r="K287" s="152">
        <f t="shared" si="140"/>
        <v>70601049.14891636</v>
      </c>
      <c r="L287" s="152">
        <f t="shared" si="140"/>
        <v>72366075.37763926</v>
      </c>
      <c r="M287" s="152">
        <f t="shared" si="140"/>
        <v>74175227.26208024</v>
      </c>
      <c r="N287" s="152">
        <f t="shared" si="140"/>
        <v>76029607.94363223</v>
      </c>
    </row>
    <row r="288" spans="1:14" s="61" customFormat="1" ht="36" hidden="1">
      <c r="A288" s="67" t="s">
        <v>188</v>
      </c>
      <c r="B288" s="68" t="s">
        <v>460</v>
      </c>
      <c r="C288" s="40">
        <v>20000000</v>
      </c>
      <c r="D288" s="65">
        <v>1.04</v>
      </c>
      <c r="E288" s="154">
        <v>20000000</v>
      </c>
      <c r="F288" s="152">
        <f t="shared" si="137"/>
        <v>20800000</v>
      </c>
      <c r="G288" s="152">
        <f t="shared" si="141"/>
        <v>21320000</v>
      </c>
      <c r="H288" s="152">
        <f aca="true" t="shared" si="142" ref="H288:N297">+G288*1.025</f>
        <v>21852999.999999996</v>
      </c>
      <c r="I288" s="152">
        <f t="shared" si="142"/>
        <v>22399324.999999993</v>
      </c>
      <c r="J288" s="152">
        <f t="shared" si="142"/>
        <v>22959308.12499999</v>
      </c>
      <c r="K288" s="152">
        <f t="shared" si="142"/>
        <v>23533290.828124985</v>
      </c>
      <c r="L288" s="152">
        <f t="shared" si="142"/>
        <v>24121623.098828107</v>
      </c>
      <c r="M288" s="152">
        <f t="shared" si="142"/>
        <v>24724663.67629881</v>
      </c>
      <c r="N288" s="152">
        <f t="shared" si="142"/>
        <v>25342780.268206276</v>
      </c>
    </row>
    <row r="289" spans="1:14" s="61" customFormat="1" ht="12" hidden="1">
      <c r="A289" s="67" t="s">
        <v>189</v>
      </c>
      <c r="B289" s="68" t="s">
        <v>159</v>
      </c>
      <c r="C289" s="40">
        <v>20000000</v>
      </c>
      <c r="D289" s="65">
        <v>1.04</v>
      </c>
      <c r="E289" s="154">
        <v>20000000</v>
      </c>
      <c r="F289" s="152">
        <f t="shared" si="137"/>
        <v>20800000</v>
      </c>
      <c r="G289" s="152">
        <f t="shared" si="141"/>
        <v>21320000</v>
      </c>
      <c r="H289" s="152">
        <f t="shared" si="142"/>
        <v>21852999.999999996</v>
      </c>
      <c r="I289" s="152">
        <f t="shared" si="142"/>
        <v>22399324.999999993</v>
      </c>
      <c r="J289" s="152">
        <f t="shared" si="142"/>
        <v>22959308.12499999</v>
      </c>
      <c r="K289" s="152">
        <f t="shared" si="142"/>
        <v>23533290.828124985</v>
      </c>
      <c r="L289" s="152">
        <f t="shared" si="142"/>
        <v>24121623.098828107</v>
      </c>
      <c r="M289" s="152">
        <f t="shared" si="142"/>
        <v>24724663.67629881</v>
      </c>
      <c r="N289" s="152">
        <f t="shared" si="142"/>
        <v>25342780.268206276</v>
      </c>
    </row>
    <row r="290" spans="1:14" s="61" customFormat="1" ht="24" hidden="1">
      <c r="A290" s="67" t="s">
        <v>190</v>
      </c>
      <c r="B290" s="68" t="s">
        <v>160</v>
      </c>
      <c r="C290" s="40">
        <v>20000000</v>
      </c>
      <c r="D290" s="65">
        <v>1.04</v>
      </c>
      <c r="E290" s="154">
        <v>20000000</v>
      </c>
      <c r="F290" s="152">
        <f t="shared" si="137"/>
        <v>20800000</v>
      </c>
      <c r="G290" s="152">
        <f t="shared" si="141"/>
        <v>21320000</v>
      </c>
      <c r="H290" s="152">
        <f t="shared" si="142"/>
        <v>21852999.999999996</v>
      </c>
      <c r="I290" s="152">
        <f t="shared" si="142"/>
        <v>22399324.999999993</v>
      </c>
      <c r="J290" s="152">
        <f t="shared" si="142"/>
        <v>22959308.12499999</v>
      </c>
      <c r="K290" s="152">
        <f t="shared" si="142"/>
        <v>23533290.828124985</v>
      </c>
      <c r="L290" s="152">
        <f t="shared" si="142"/>
        <v>24121623.098828107</v>
      </c>
      <c r="M290" s="152">
        <f t="shared" si="142"/>
        <v>24724663.67629881</v>
      </c>
      <c r="N290" s="152">
        <f t="shared" si="142"/>
        <v>25342780.268206276</v>
      </c>
    </row>
    <row r="291" spans="1:14" s="61" customFormat="1" ht="24" hidden="1">
      <c r="A291" s="67" t="s">
        <v>191</v>
      </c>
      <c r="B291" s="68" t="s">
        <v>410</v>
      </c>
      <c r="C291" s="40">
        <v>1000</v>
      </c>
      <c r="D291" s="65">
        <v>1.04</v>
      </c>
      <c r="E291" s="154">
        <v>1000</v>
      </c>
      <c r="F291" s="152">
        <f t="shared" si="137"/>
        <v>1040</v>
      </c>
      <c r="G291" s="152">
        <f t="shared" si="141"/>
        <v>1066</v>
      </c>
      <c r="H291" s="152">
        <f t="shared" si="142"/>
        <v>1092.6499999999999</v>
      </c>
      <c r="I291" s="152">
        <f t="shared" si="142"/>
        <v>1119.9662499999997</v>
      </c>
      <c r="J291" s="152">
        <f t="shared" si="142"/>
        <v>1147.9654062499997</v>
      </c>
      <c r="K291" s="152">
        <f t="shared" si="142"/>
        <v>1176.6645414062496</v>
      </c>
      <c r="L291" s="152">
        <f t="shared" si="142"/>
        <v>1206.0811549414057</v>
      </c>
      <c r="M291" s="152">
        <f t="shared" si="142"/>
        <v>1236.2331838149407</v>
      </c>
      <c r="N291" s="152">
        <f t="shared" si="142"/>
        <v>1267.1390134103142</v>
      </c>
    </row>
    <row r="292" spans="1:14" s="66" customFormat="1" ht="12" hidden="1">
      <c r="A292" s="64" t="s">
        <v>89</v>
      </c>
      <c r="B292" s="58" t="s">
        <v>461</v>
      </c>
      <c r="C292" s="59">
        <f>SUM(C293:C294)</f>
        <v>89374813.00333333</v>
      </c>
      <c r="D292" s="65"/>
      <c r="E292" s="159">
        <f>SUM(E293:E294)</f>
        <v>89374813.00333333</v>
      </c>
      <c r="F292" s="152">
        <f t="shared" si="137"/>
        <v>92949805.52346666</v>
      </c>
      <c r="G292" s="152">
        <f t="shared" si="141"/>
        <v>95273550.66155332</v>
      </c>
      <c r="H292" s="152">
        <f t="shared" si="142"/>
        <v>97655389.42809215</v>
      </c>
      <c r="I292" s="152">
        <f t="shared" si="142"/>
        <v>100096774.16379444</v>
      </c>
      <c r="J292" s="152">
        <f t="shared" si="142"/>
        <v>102599193.51788929</v>
      </c>
      <c r="K292" s="152">
        <f t="shared" si="142"/>
        <v>105164173.35583651</v>
      </c>
      <c r="L292" s="152">
        <f t="shared" si="142"/>
        <v>107793277.68973242</v>
      </c>
      <c r="M292" s="152">
        <f t="shared" si="142"/>
        <v>110488109.63197573</v>
      </c>
      <c r="N292" s="152">
        <f t="shared" si="142"/>
        <v>113250312.37277511</v>
      </c>
    </row>
    <row r="293" spans="1:14" s="61" customFormat="1" ht="12" hidden="1">
      <c r="A293" s="67" t="s">
        <v>233</v>
      </c>
      <c r="B293" s="68" t="s">
        <v>462</v>
      </c>
      <c r="C293" s="40">
        <v>37374813.00333333</v>
      </c>
      <c r="D293" s="65">
        <v>1.04</v>
      </c>
      <c r="E293" s="154">
        <v>37374813.00333333</v>
      </c>
      <c r="F293" s="152">
        <f t="shared" si="137"/>
        <v>38869805.52346666</v>
      </c>
      <c r="G293" s="152">
        <f t="shared" si="141"/>
        <v>39841550.66155332</v>
      </c>
      <c r="H293" s="152">
        <f t="shared" si="142"/>
        <v>40837589.42809215</v>
      </c>
      <c r="I293" s="152">
        <f t="shared" si="142"/>
        <v>41858529.16379445</v>
      </c>
      <c r="J293" s="152">
        <f t="shared" si="142"/>
        <v>42904992.392889306</v>
      </c>
      <c r="K293" s="152">
        <f t="shared" si="142"/>
        <v>43977617.20271154</v>
      </c>
      <c r="L293" s="152">
        <f t="shared" si="142"/>
        <v>45077057.63277932</v>
      </c>
      <c r="M293" s="152">
        <f t="shared" si="142"/>
        <v>46203984.0735988</v>
      </c>
      <c r="N293" s="152">
        <f t="shared" si="142"/>
        <v>47359083.67543877</v>
      </c>
    </row>
    <row r="294" spans="1:14" s="61" customFormat="1" ht="36" hidden="1">
      <c r="A294" s="67" t="s">
        <v>192</v>
      </c>
      <c r="B294" s="68" t="s">
        <v>463</v>
      </c>
      <c r="C294" s="40">
        <v>52000000</v>
      </c>
      <c r="D294" s="65">
        <v>1.04</v>
      </c>
      <c r="E294" s="154">
        <v>52000000</v>
      </c>
      <c r="F294" s="152">
        <f t="shared" si="137"/>
        <v>54080000</v>
      </c>
      <c r="G294" s="152">
        <f t="shared" si="141"/>
        <v>55431999.99999999</v>
      </c>
      <c r="H294" s="152">
        <f t="shared" si="142"/>
        <v>56817799.999999985</v>
      </c>
      <c r="I294" s="152">
        <f t="shared" si="142"/>
        <v>58238244.99999998</v>
      </c>
      <c r="J294" s="152">
        <f t="shared" si="142"/>
        <v>59694201.12499997</v>
      </c>
      <c r="K294" s="152">
        <f t="shared" si="142"/>
        <v>61186556.153124966</v>
      </c>
      <c r="L294" s="152">
        <f t="shared" si="142"/>
        <v>62716220.05695309</v>
      </c>
      <c r="M294" s="152">
        <f t="shared" si="142"/>
        <v>64284125.55837691</v>
      </c>
      <c r="N294" s="152">
        <f t="shared" si="142"/>
        <v>65891228.69733632</v>
      </c>
    </row>
    <row r="295" spans="1:14" s="61" customFormat="1" ht="12">
      <c r="A295" s="69" t="s">
        <v>618</v>
      </c>
      <c r="B295" s="58" t="s">
        <v>619</v>
      </c>
      <c r="C295" s="59">
        <f>SUM(C296:C298)</f>
        <v>209519902</v>
      </c>
      <c r="D295" s="63"/>
      <c r="E295" s="159">
        <v>240250000</v>
      </c>
      <c r="F295" s="152">
        <f t="shared" si="137"/>
        <v>249860000</v>
      </c>
      <c r="G295" s="152">
        <f t="shared" si="141"/>
        <v>256106499.99999997</v>
      </c>
      <c r="H295" s="152">
        <f t="shared" si="142"/>
        <v>262509162.49999994</v>
      </c>
      <c r="I295" s="152">
        <f t="shared" si="142"/>
        <v>269071891.56249994</v>
      </c>
      <c r="J295" s="152">
        <f t="shared" si="142"/>
        <v>275798688.85156244</v>
      </c>
      <c r="K295" s="152">
        <f t="shared" si="142"/>
        <v>282693656.0728515</v>
      </c>
      <c r="L295" s="152">
        <f t="shared" si="142"/>
        <v>289760997.47467273</v>
      </c>
      <c r="M295" s="152">
        <f t="shared" si="142"/>
        <v>297005022.41153955</v>
      </c>
      <c r="N295" s="152">
        <f t="shared" si="142"/>
        <v>304430147.97182804</v>
      </c>
    </row>
    <row r="296" spans="1:14" s="61" customFormat="1" ht="12" hidden="1">
      <c r="A296" s="57" t="s">
        <v>620</v>
      </c>
      <c r="B296" s="58" t="s">
        <v>407</v>
      </c>
      <c r="C296" s="59">
        <v>167808979</v>
      </c>
      <c r="D296" s="65">
        <v>1.04</v>
      </c>
      <c r="E296" s="159">
        <v>167808979</v>
      </c>
      <c r="F296" s="152">
        <f t="shared" si="137"/>
        <v>174521338.16</v>
      </c>
      <c r="G296" s="152">
        <f t="shared" si="141"/>
        <v>178884371.614</v>
      </c>
      <c r="H296" s="152">
        <f t="shared" si="142"/>
        <v>183356480.90434998</v>
      </c>
      <c r="I296" s="152">
        <f t="shared" si="142"/>
        <v>187940392.9269587</v>
      </c>
      <c r="J296" s="152">
        <f t="shared" si="142"/>
        <v>192638902.75013265</v>
      </c>
      <c r="K296" s="152">
        <f t="shared" si="142"/>
        <v>197454875.31888595</v>
      </c>
      <c r="L296" s="152">
        <f t="shared" si="142"/>
        <v>202391247.20185807</v>
      </c>
      <c r="M296" s="152">
        <f t="shared" si="142"/>
        <v>207451028.3819045</v>
      </c>
      <c r="N296" s="152">
        <f t="shared" si="142"/>
        <v>212637304.09145212</v>
      </c>
    </row>
    <row r="297" spans="1:14" s="61" customFormat="1" ht="12" hidden="1">
      <c r="A297" s="57" t="s">
        <v>621</v>
      </c>
      <c r="B297" s="68" t="s">
        <v>408</v>
      </c>
      <c r="C297" s="73">
        <v>29710923</v>
      </c>
      <c r="D297" s="65">
        <v>1.04</v>
      </c>
      <c r="E297" s="161">
        <v>29710923</v>
      </c>
      <c r="F297" s="152">
        <f t="shared" si="137"/>
        <v>30899359.92</v>
      </c>
      <c r="G297" s="152">
        <f t="shared" si="141"/>
        <v>31671843.917999998</v>
      </c>
      <c r="H297" s="152">
        <f t="shared" si="142"/>
        <v>32463640.015949994</v>
      </c>
      <c r="I297" s="152">
        <f t="shared" si="142"/>
        <v>33275231.016348742</v>
      </c>
      <c r="J297" s="152">
        <f t="shared" si="142"/>
        <v>34107111.79175746</v>
      </c>
      <c r="K297" s="152">
        <f t="shared" si="142"/>
        <v>34959789.58655139</v>
      </c>
      <c r="L297" s="152">
        <f t="shared" si="142"/>
        <v>35833784.32621517</v>
      </c>
      <c r="M297" s="152">
        <f t="shared" si="142"/>
        <v>36729628.93437055</v>
      </c>
      <c r="N297" s="152">
        <f t="shared" si="142"/>
        <v>37647869.657729805</v>
      </c>
    </row>
    <row r="298" spans="1:14" s="61" customFormat="1" ht="24" hidden="1">
      <c r="A298" s="57" t="s">
        <v>622</v>
      </c>
      <c r="B298" s="68" t="s">
        <v>409</v>
      </c>
      <c r="C298" s="73">
        <v>12000000</v>
      </c>
      <c r="D298" s="65">
        <v>1.04</v>
      </c>
      <c r="E298" s="161">
        <v>12000000</v>
      </c>
      <c r="F298" s="152">
        <f t="shared" si="137"/>
        <v>12480000</v>
      </c>
      <c r="G298" s="152">
        <f t="shared" si="141"/>
        <v>12791999.999999998</v>
      </c>
      <c r="H298" s="152">
        <f aca="true" t="shared" si="143" ref="H298:N299">+G298*1.025</f>
        <v>13111799.999999996</v>
      </c>
      <c r="I298" s="152">
        <f t="shared" si="143"/>
        <v>13439594.999999994</v>
      </c>
      <c r="J298" s="152">
        <f t="shared" si="143"/>
        <v>13775584.874999993</v>
      </c>
      <c r="K298" s="152">
        <f t="shared" si="143"/>
        <v>14119974.496874992</v>
      </c>
      <c r="L298" s="152">
        <f t="shared" si="143"/>
        <v>14472973.859296866</v>
      </c>
      <c r="M298" s="152">
        <f t="shared" si="143"/>
        <v>14834798.205779286</v>
      </c>
      <c r="N298" s="152">
        <f t="shared" si="143"/>
        <v>15205668.160923768</v>
      </c>
    </row>
    <row r="299" spans="1:14" s="61" customFormat="1" ht="12">
      <c r="A299" s="69" t="s">
        <v>623</v>
      </c>
      <c r="B299" s="74" t="s">
        <v>624</v>
      </c>
      <c r="C299" s="59">
        <f>+C300</f>
        <v>112165295</v>
      </c>
      <c r="D299" s="63"/>
      <c r="E299" s="159">
        <v>129000000</v>
      </c>
      <c r="F299" s="152">
        <f t="shared" si="137"/>
        <v>134160000</v>
      </c>
      <c r="G299" s="152">
        <f t="shared" si="141"/>
        <v>137514000</v>
      </c>
      <c r="H299" s="152">
        <f t="shared" si="143"/>
        <v>140951850</v>
      </c>
      <c r="I299" s="152">
        <f t="shared" si="143"/>
        <v>144475646.25</v>
      </c>
      <c r="J299" s="152">
        <f t="shared" si="143"/>
        <v>148087537.40625</v>
      </c>
      <c r="K299" s="152">
        <f t="shared" si="143"/>
        <v>151789725.84140623</v>
      </c>
      <c r="L299" s="152">
        <f t="shared" si="143"/>
        <v>155584468.98744136</v>
      </c>
      <c r="M299" s="152">
        <f t="shared" si="143"/>
        <v>159474080.7121274</v>
      </c>
      <c r="N299" s="152">
        <f t="shared" si="143"/>
        <v>163460932.72993055</v>
      </c>
    </row>
    <row r="300" spans="1:14" s="61" customFormat="1" ht="12" hidden="1">
      <c r="A300" s="57" t="s">
        <v>627</v>
      </c>
      <c r="B300" s="75" t="s">
        <v>625</v>
      </c>
      <c r="C300" s="40">
        <f>+C301</f>
        <v>112165295</v>
      </c>
      <c r="D300" s="63"/>
      <c r="E300" s="154">
        <f>+E301</f>
        <v>112165295</v>
      </c>
      <c r="F300" s="152">
        <f t="shared" si="137"/>
        <v>116651906.8</v>
      </c>
      <c r="G300" s="152">
        <f t="shared" si="141"/>
        <v>119568204.46999998</v>
      </c>
      <c r="H300" s="154" t="e">
        <f aca="true" t="shared" si="144" ref="H300:N300">+H301</f>
        <v>#REF!</v>
      </c>
      <c r="I300" s="154" t="e">
        <f t="shared" si="144"/>
        <v>#REF!</v>
      </c>
      <c r="J300" s="154" t="e">
        <f t="shared" si="144"/>
        <v>#REF!</v>
      </c>
      <c r="K300" s="154" t="e">
        <f t="shared" si="144"/>
        <v>#REF!</v>
      </c>
      <c r="L300" s="154" t="e">
        <f t="shared" si="144"/>
        <v>#REF!</v>
      </c>
      <c r="M300" s="154" t="e">
        <f t="shared" si="144"/>
        <v>#REF!</v>
      </c>
      <c r="N300" s="154" t="e">
        <f t="shared" si="144"/>
        <v>#REF!</v>
      </c>
    </row>
    <row r="301" spans="1:14" s="61" customFormat="1" ht="12" hidden="1">
      <c r="A301" s="57" t="s">
        <v>628</v>
      </c>
      <c r="B301" s="75" t="s">
        <v>626</v>
      </c>
      <c r="C301" s="40">
        <v>112165295</v>
      </c>
      <c r="D301" s="65">
        <v>1.04</v>
      </c>
      <c r="E301" s="154">
        <v>112165295</v>
      </c>
      <c r="F301" s="152">
        <f t="shared" si="137"/>
        <v>116651906.8</v>
      </c>
      <c r="G301" s="152">
        <f t="shared" si="141"/>
        <v>119568204.46999998</v>
      </c>
      <c r="H301" s="154" t="e">
        <f>+G301*#REF!</f>
        <v>#REF!</v>
      </c>
      <c r="I301" s="154" t="e">
        <f>+H301*#REF!</f>
        <v>#REF!</v>
      </c>
      <c r="J301" s="154" t="e">
        <f>+I301*#REF!</f>
        <v>#REF!</v>
      </c>
      <c r="K301" s="154" t="e">
        <f>+J301*#REF!</f>
        <v>#REF!</v>
      </c>
      <c r="L301" s="154" t="e">
        <f>+K301*#REF!</f>
        <v>#REF!</v>
      </c>
      <c r="M301" s="154" t="e">
        <f>+L301*#REF!</f>
        <v>#REF!</v>
      </c>
      <c r="N301" s="154" t="e">
        <f>+M301*#REF!</f>
        <v>#REF!</v>
      </c>
    </row>
    <row r="302" spans="3:14" s="61" customFormat="1" ht="12" hidden="1">
      <c r="C302" s="62"/>
      <c r="D302" s="63"/>
      <c r="E302" s="160"/>
      <c r="F302" s="152">
        <f t="shared" si="137"/>
        <v>0</v>
      </c>
      <c r="G302" s="152">
        <f t="shared" si="141"/>
        <v>0</v>
      </c>
      <c r="H302" s="160"/>
      <c r="I302" s="160"/>
      <c r="J302" s="160"/>
      <c r="K302" s="160"/>
      <c r="L302" s="160"/>
      <c r="M302" s="160"/>
      <c r="N302" s="160"/>
    </row>
    <row r="303" spans="1:14" s="61" customFormat="1" ht="24">
      <c r="A303" s="69" t="s">
        <v>156</v>
      </c>
      <c r="B303" s="58" t="s">
        <v>147</v>
      </c>
      <c r="C303" s="59">
        <f>+C304+C307+C310</f>
        <v>121770000</v>
      </c>
      <c r="D303" s="63"/>
      <c r="E303" s="159">
        <f>168000000+275409000-35000000</f>
        <v>408409000</v>
      </c>
      <c r="F303" s="152">
        <f t="shared" si="137"/>
        <v>424745360</v>
      </c>
      <c r="G303" s="152">
        <f t="shared" si="141"/>
        <v>435363993.99999994</v>
      </c>
      <c r="H303" s="152">
        <f aca="true" t="shared" si="145" ref="H303:N303">+G303*1.025</f>
        <v>446248093.8499999</v>
      </c>
      <c r="I303" s="152">
        <f t="shared" si="145"/>
        <v>457404296.19624984</v>
      </c>
      <c r="J303" s="152">
        <f>+I303*1.025+205000000</f>
        <v>673839403.601156</v>
      </c>
      <c r="K303" s="152">
        <f t="shared" si="145"/>
        <v>690685388.6911849</v>
      </c>
      <c r="L303" s="152">
        <f t="shared" si="145"/>
        <v>707952523.4084644</v>
      </c>
      <c r="M303" s="152">
        <f t="shared" si="145"/>
        <v>725651336.493676</v>
      </c>
      <c r="N303" s="152">
        <f t="shared" si="145"/>
        <v>743792619.9060178</v>
      </c>
    </row>
    <row r="304" spans="1:14" s="61" customFormat="1" ht="12" hidden="1">
      <c r="A304" s="69" t="s">
        <v>161</v>
      </c>
      <c r="B304" s="76" t="s">
        <v>163</v>
      </c>
      <c r="C304" s="59">
        <f>+C305</f>
        <v>90000000</v>
      </c>
      <c r="D304" s="63"/>
      <c r="E304" s="159">
        <f>+E305</f>
        <v>90000000</v>
      </c>
      <c r="F304" s="152">
        <f t="shared" si="137"/>
        <v>93600000</v>
      </c>
      <c r="G304" s="152">
        <f t="shared" si="141"/>
        <v>95939999.99999999</v>
      </c>
      <c r="H304" s="152">
        <f aca="true" t="shared" si="146" ref="H304:N304">+G304*1.025</f>
        <v>98338499.99999997</v>
      </c>
      <c r="I304" s="152">
        <f t="shared" si="146"/>
        <v>100796962.49999996</v>
      </c>
      <c r="J304" s="152">
        <f t="shared" si="146"/>
        <v>103316886.56249994</v>
      </c>
      <c r="K304" s="152">
        <f t="shared" si="146"/>
        <v>105899808.72656243</v>
      </c>
      <c r="L304" s="152">
        <f t="shared" si="146"/>
        <v>108547303.94472648</v>
      </c>
      <c r="M304" s="152">
        <f t="shared" si="146"/>
        <v>111260986.54334463</v>
      </c>
      <c r="N304" s="152">
        <f t="shared" si="146"/>
        <v>114042511.20692824</v>
      </c>
    </row>
    <row r="305" spans="1:14" s="61" customFormat="1" ht="12" hidden="1">
      <c r="A305" s="69" t="s">
        <v>162</v>
      </c>
      <c r="B305" s="75" t="s">
        <v>459</v>
      </c>
      <c r="C305" s="40">
        <f>+C306</f>
        <v>90000000</v>
      </c>
      <c r="D305" s="63"/>
      <c r="E305" s="154">
        <f>+E306</f>
        <v>90000000</v>
      </c>
      <c r="F305" s="152">
        <f t="shared" si="137"/>
        <v>93600000</v>
      </c>
      <c r="G305" s="152">
        <f t="shared" si="141"/>
        <v>95939999.99999999</v>
      </c>
      <c r="H305" s="152">
        <f aca="true" t="shared" si="147" ref="H305:N305">+G305*1.025</f>
        <v>98338499.99999997</v>
      </c>
      <c r="I305" s="152">
        <f t="shared" si="147"/>
        <v>100796962.49999996</v>
      </c>
      <c r="J305" s="152">
        <f t="shared" si="147"/>
        <v>103316886.56249994</v>
      </c>
      <c r="K305" s="152">
        <f t="shared" si="147"/>
        <v>105899808.72656243</v>
      </c>
      <c r="L305" s="152">
        <f t="shared" si="147"/>
        <v>108547303.94472648</v>
      </c>
      <c r="M305" s="152">
        <f t="shared" si="147"/>
        <v>111260986.54334463</v>
      </c>
      <c r="N305" s="152">
        <f t="shared" si="147"/>
        <v>114042511.20692824</v>
      </c>
    </row>
    <row r="306" spans="1:14" s="61" customFormat="1" ht="36" hidden="1">
      <c r="A306" s="69" t="s">
        <v>164</v>
      </c>
      <c r="B306" s="75" t="s">
        <v>112</v>
      </c>
      <c r="C306" s="40">
        <v>90000000</v>
      </c>
      <c r="D306" s="65">
        <v>1.04</v>
      </c>
      <c r="E306" s="154">
        <v>90000000</v>
      </c>
      <c r="F306" s="152">
        <f t="shared" si="137"/>
        <v>93600000</v>
      </c>
      <c r="G306" s="152">
        <f t="shared" si="141"/>
        <v>95939999.99999999</v>
      </c>
      <c r="H306" s="152">
        <f aca="true" t="shared" si="148" ref="H306:N306">+G306*1.025</f>
        <v>98338499.99999997</v>
      </c>
      <c r="I306" s="152">
        <f t="shared" si="148"/>
        <v>100796962.49999996</v>
      </c>
      <c r="J306" s="152">
        <f t="shared" si="148"/>
        <v>103316886.56249994</v>
      </c>
      <c r="K306" s="152">
        <f t="shared" si="148"/>
        <v>105899808.72656243</v>
      </c>
      <c r="L306" s="152">
        <f t="shared" si="148"/>
        <v>108547303.94472648</v>
      </c>
      <c r="M306" s="152">
        <f t="shared" si="148"/>
        <v>111260986.54334463</v>
      </c>
      <c r="N306" s="152">
        <f t="shared" si="148"/>
        <v>114042511.20692824</v>
      </c>
    </row>
    <row r="307" spans="1:14" s="61" customFormat="1" ht="12" hidden="1">
      <c r="A307" s="69" t="s">
        <v>165</v>
      </c>
      <c r="B307" s="58" t="s">
        <v>448</v>
      </c>
      <c r="C307" s="59">
        <f>+C308</f>
        <v>14500000</v>
      </c>
      <c r="D307" s="63"/>
      <c r="E307" s="159">
        <f>+E308</f>
        <v>14500000</v>
      </c>
      <c r="F307" s="152">
        <f t="shared" si="137"/>
        <v>15080000</v>
      </c>
      <c r="G307" s="152">
        <f t="shared" si="141"/>
        <v>15456999.999999998</v>
      </c>
      <c r="H307" s="152">
        <f aca="true" t="shared" si="149" ref="H307:N307">+G307*1.025</f>
        <v>15843424.999999996</v>
      </c>
      <c r="I307" s="152">
        <f t="shared" si="149"/>
        <v>16239510.624999994</v>
      </c>
      <c r="J307" s="152">
        <f t="shared" si="149"/>
        <v>16645498.390624993</v>
      </c>
      <c r="K307" s="152">
        <f t="shared" si="149"/>
        <v>17061635.850390617</v>
      </c>
      <c r="L307" s="152">
        <f t="shared" si="149"/>
        <v>17488176.74665038</v>
      </c>
      <c r="M307" s="152">
        <f t="shared" si="149"/>
        <v>17925381.165316638</v>
      </c>
      <c r="N307" s="152">
        <f t="shared" si="149"/>
        <v>18373515.69444955</v>
      </c>
    </row>
    <row r="308" spans="1:14" s="61" customFormat="1" ht="36" hidden="1">
      <c r="A308" s="57" t="s">
        <v>166</v>
      </c>
      <c r="B308" s="68" t="s">
        <v>194</v>
      </c>
      <c r="C308" s="40">
        <f>+C309</f>
        <v>14500000</v>
      </c>
      <c r="D308" s="63"/>
      <c r="E308" s="154">
        <f>+E309</f>
        <v>14500000</v>
      </c>
      <c r="F308" s="152">
        <f t="shared" si="137"/>
        <v>15080000</v>
      </c>
      <c r="G308" s="152">
        <f t="shared" si="141"/>
        <v>15456999.999999998</v>
      </c>
      <c r="H308" s="152">
        <f aca="true" t="shared" si="150" ref="H308:N308">+G308*1.025</f>
        <v>15843424.999999996</v>
      </c>
      <c r="I308" s="152">
        <f t="shared" si="150"/>
        <v>16239510.624999994</v>
      </c>
      <c r="J308" s="152">
        <f t="shared" si="150"/>
        <v>16645498.390624993</v>
      </c>
      <c r="K308" s="152">
        <f t="shared" si="150"/>
        <v>17061635.850390617</v>
      </c>
      <c r="L308" s="152">
        <f t="shared" si="150"/>
        <v>17488176.74665038</v>
      </c>
      <c r="M308" s="152">
        <f t="shared" si="150"/>
        <v>17925381.165316638</v>
      </c>
      <c r="N308" s="152">
        <f t="shared" si="150"/>
        <v>18373515.69444955</v>
      </c>
    </row>
    <row r="309" spans="1:14" s="61" customFormat="1" ht="24.75" customHeight="1" hidden="1">
      <c r="A309" s="57" t="s">
        <v>167</v>
      </c>
      <c r="B309" s="68" t="s">
        <v>195</v>
      </c>
      <c r="C309" s="40">
        <v>14500000</v>
      </c>
      <c r="D309" s="65">
        <v>1.04</v>
      </c>
      <c r="E309" s="154">
        <v>14500000</v>
      </c>
      <c r="F309" s="152">
        <f t="shared" si="137"/>
        <v>15080000</v>
      </c>
      <c r="G309" s="152">
        <f t="shared" si="141"/>
        <v>15456999.999999998</v>
      </c>
      <c r="H309" s="152">
        <f aca="true" t="shared" si="151" ref="H309:N309">+G309*1.025</f>
        <v>15843424.999999996</v>
      </c>
      <c r="I309" s="152">
        <f t="shared" si="151"/>
        <v>16239510.624999994</v>
      </c>
      <c r="J309" s="152">
        <f t="shared" si="151"/>
        <v>16645498.390624993</v>
      </c>
      <c r="K309" s="152">
        <f t="shared" si="151"/>
        <v>17061635.850390617</v>
      </c>
      <c r="L309" s="152">
        <f t="shared" si="151"/>
        <v>17488176.74665038</v>
      </c>
      <c r="M309" s="152">
        <f t="shared" si="151"/>
        <v>17925381.165316638</v>
      </c>
      <c r="N309" s="152">
        <f t="shared" si="151"/>
        <v>18373515.69444955</v>
      </c>
    </row>
    <row r="310" spans="1:14" s="61" customFormat="1" ht="12" hidden="1">
      <c r="A310" s="69" t="s">
        <v>662</v>
      </c>
      <c r="B310" s="58" t="s">
        <v>445</v>
      </c>
      <c r="C310" s="40">
        <f>+C311</f>
        <v>17270000</v>
      </c>
      <c r="D310" s="63"/>
      <c r="E310" s="154">
        <f>+E311</f>
        <v>17270000</v>
      </c>
      <c r="F310" s="152">
        <f t="shared" si="137"/>
        <v>17960800</v>
      </c>
      <c r="G310" s="152">
        <f t="shared" si="141"/>
        <v>18409820</v>
      </c>
      <c r="H310" s="152">
        <f aca="true" t="shared" si="152" ref="H310:N310">+G310*1.025</f>
        <v>18870065.5</v>
      </c>
      <c r="I310" s="152">
        <f t="shared" si="152"/>
        <v>19341817.1375</v>
      </c>
      <c r="J310" s="152">
        <f t="shared" si="152"/>
        <v>19825362.565937497</v>
      </c>
      <c r="K310" s="152">
        <f t="shared" si="152"/>
        <v>20320996.630085934</v>
      </c>
      <c r="L310" s="152">
        <f t="shared" si="152"/>
        <v>20829021.54583808</v>
      </c>
      <c r="M310" s="152">
        <f t="shared" si="152"/>
        <v>21349747.08448403</v>
      </c>
      <c r="N310" s="152">
        <f t="shared" si="152"/>
        <v>21883490.76159613</v>
      </c>
    </row>
    <row r="311" spans="1:14" s="61" customFormat="1" ht="12" hidden="1">
      <c r="A311" s="69" t="s">
        <v>663</v>
      </c>
      <c r="B311" s="68" t="s">
        <v>447</v>
      </c>
      <c r="C311" s="40">
        <v>17270000</v>
      </c>
      <c r="D311" s="65">
        <v>1.04</v>
      </c>
      <c r="E311" s="154">
        <v>17270000</v>
      </c>
      <c r="F311" s="152">
        <f t="shared" si="137"/>
        <v>17960800</v>
      </c>
      <c r="G311" s="152">
        <f aca="true" t="shared" si="153" ref="G311:G341">+F311*1.025</f>
        <v>18409820</v>
      </c>
      <c r="H311" s="152">
        <f aca="true" t="shared" si="154" ref="H311:N311">+G311*1.025</f>
        <v>18870065.5</v>
      </c>
      <c r="I311" s="152">
        <f t="shared" si="154"/>
        <v>19341817.1375</v>
      </c>
      <c r="J311" s="152">
        <f t="shared" si="154"/>
        <v>19825362.565937497</v>
      </c>
      <c r="K311" s="152">
        <f t="shared" si="154"/>
        <v>20320996.630085934</v>
      </c>
      <c r="L311" s="152">
        <f t="shared" si="154"/>
        <v>20829021.54583808</v>
      </c>
      <c r="M311" s="152">
        <f t="shared" si="154"/>
        <v>21349747.08448403</v>
      </c>
      <c r="N311" s="152">
        <f t="shared" si="154"/>
        <v>21883490.76159613</v>
      </c>
    </row>
    <row r="312" spans="3:14" s="61" customFormat="1" ht="12" hidden="1">
      <c r="C312" s="62"/>
      <c r="D312" s="63"/>
      <c r="E312" s="160"/>
      <c r="F312" s="152">
        <f t="shared" si="137"/>
        <v>0</v>
      </c>
      <c r="G312" s="152">
        <f t="shared" si="153"/>
        <v>0</v>
      </c>
      <c r="H312" s="152">
        <f aca="true" t="shared" si="155" ref="H312:N312">+G312*1.025</f>
        <v>0</v>
      </c>
      <c r="I312" s="152">
        <f t="shared" si="155"/>
        <v>0</v>
      </c>
      <c r="J312" s="152">
        <f t="shared" si="155"/>
        <v>0</v>
      </c>
      <c r="K312" s="152">
        <f t="shared" si="155"/>
        <v>0</v>
      </c>
      <c r="L312" s="152">
        <f t="shared" si="155"/>
        <v>0</v>
      </c>
      <c r="M312" s="152">
        <f t="shared" si="155"/>
        <v>0</v>
      </c>
      <c r="N312" s="152">
        <f t="shared" si="155"/>
        <v>0</v>
      </c>
    </row>
    <row r="313" spans="1:14" s="66" customFormat="1" ht="24">
      <c r="A313" s="69" t="s">
        <v>157</v>
      </c>
      <c r="B313" s="76" t="s">
        <v>101</v>
      </c>
      <c r="C313" s="59">
        <f>+C314+C319+C322+C325+C328+C331+C336</f>
        <v>242729000</v>
      </c>
      <c r="D313" s="65"/>
      <c r="E313" s="159">
        <v>214400000</v>
      </c>
      <c r="F313" s="152">
        <f t="shared" si="137"/>
        <v>222976000</v>
      </c>
      <c r="G313" s="152">
        <f t="shared" si="153"/>
        <v>228550399.99999997</v>
      </c>
      <c r="H313" s="152">
        <f aca="true" t="shared" si="156" ref="H313:N313">+G313*1.025</f>
        <v>234264159.99999994</v>
      </c>
      <c r="I313" s="152">
        <f t="shared" si="156"/>
        <v>240120763.9999999</v>
      </c>
      <c r="J313" s="152">
        <f t="shared" si="156"/>
        <v>246123783.09999987</v>
      </c>
      <c r="K313" s="152">
        <f t="shared" si="156"/>
        <v>252276877.67749986</v>
      </c>
      <c r="L313" s="152">
        <f t="shared" si="156"/>
        <v>258583799.61943734</v>
      </c>
      <c r="M313" s="152">
        <f t="shared" si="156"/>
        <v>265048394.60992324</v>
      </c>
      <c r="N313" s="152">
        <f t="shared" si="156"/>
        <v>271674604.4751713</v>
      </c>
    </row>
    <row r="314" spans="1:14" s="61" customFormat="1" ht="12" hidden="1">
      <c r="A314" s="69" t="s">
        <v>196</v>
      </c>
      <c r="B314" s="76" t="s">
        <v>102</v>
      </c>
      <c r="C314" s="59">
        <f>+C315+C318</f>
        <v>36353000</v>
      </c>
      <c r="D314" s="63"/>
      <c r="E314" s="159">
        <f>+E315+E318</f>
        <v>36353000</v>
      </c>
      <c r="F314" s="152">
        <f t="shared" si="137"/>
        <v>37807120</v>
      </c>
      <c r="G314" s="152">
        <f t="shared" si="153"/>
        <v>38752298</v>
      </c>
      <c r="H314" s="152">
        <f aca="true" t="shared" si="157" ref="H314:N314">+G314*1.025</f>
        <v>39721105.449999996</v>
      </c>
      <c r="I314" s="152">
        <f t="shared" si="157"/>
        <v>40714133.08624999</v>
      </c>
      <c r="J314" s="152">
        <f t="shared" si="157"/>
        <v>41731986.41340624</v>
      </c>
      <c r="K314" s="152">
        <f t="shared" si="157"/>
        <v>42775286.07374139</v>
      </c>
      <c r="L314" s="152">
        <f t="shared" si="157"/>
        <v>43844668.225584924</v>
      </c>
      <c r="M314" s="152">
        <f t="shared" si="157"/>
        <v>44940784.93122454</v>
      </c>
      <c r="N314" s="152">
        <f t="shared" si="157"/>
        <v>46064304.55450515</v>
      </c>
    </row>
    <row r="315" spans="1:14" s="61" customFormat="1" ht="12" hidden="1">
      <c r="A315" s="57" t="s">
        <v>537</v>
      </c>
      <c r="B315" s="75" t="s">
        <v>539</v>
      </c>
      <c r="C315" s="40">
        <f>+C316+C317</f>
        <v>20012000</v>
      </c>
      <c r="D315" s="63"/>
      <c r="E315" s="154">
        <f>+E316+E317</f>
        <v>20012000</v>
      </c>
      <c r="F315" s="152">
        <f t="shared" si="137"/>
        <v>20812480</v>
      </c>
      <c r="G315" s="152">
        <f t="shared" si="153"/>
        <v>21332792</v>
      </c>
      <c r="H315" s="152">
        <f aca="true" t="shared" si="158" ref="H315:N315">+G315*1.025</f>
        <v>21866111.799999997</v>
      </c>
      <c r="I315" s="152">
        <f t="shared" si="158"/>
        <v>22412764.594999995</v>
      </c>
      <c r="J315" s="152">
        <f t="shared" si="158"/>
        <v>22973083.70987499</v>
      </c>
      <c r="K315" s="152">
        <f t="shared" si="158"/>
        <v>23547410.802621864</v>
      </c>
      <c r="L315" s="152">
        <f t="shared" si="158"/>
        <v>24136096.07268741</v>
      </c>
      <c r="M315" s="152">
        <f t="shared" si="158"/>
        <v>24739498.474504594</v>
      </c>
      <c r="N315" s="152">
        <f t="shared" si="158"/>
        <v>25357985.936367206</v>
      </c>
    </row>
    <row r="316" spans="1:14" s="61" customFormat="1" ht="12" hidden="1">
      <c r="A316" s="57" t="s">
        <v>712</v>
      </c>
      <c r="B316" s="75" t="s">
        <v>714</v>
      </c>
      <c r="C316" s="40">
        <v>18011000</v>
      </c>
      <c r="D316" s="65">
        <v>1.04</v>
      </c>
      <c r="E316" s="154">
        <v>18011000</v>
      </c>
      <c r="F316" s="152">
        <f t="shared" si="137"/>
        <v>18731440</v>
      </c>
      <c r="G316" s="152">
        <f t="shared" si="153"/>
        <v>19199726</v>
      </c>
      <c r="H316" s="152">
        <f aca="true" t="shared" si="159" ref="H316:N316">+G316*1.025</f>
        <v>19679719.15</v>
      </c>
      <c r="I316" s="152">
        <f t="shared" si="159"/>
        <v>20171712.128749996</v>
      </c>
      <c r="J316" s="152">
        <f t="shared" si="159"/>
        <v>20676004.931968745</v>
      </c>
      <c r="K316" s="152">
        <f t="shared" si="159"/>
        <v>21192905.05526796</v>
      </c>
      <c r="L316" s="152">
        <f t="shared" si="159"/>
        <v>21722727.681649655</v>
      </c>
      <c r="M316" s="152">
        <f t="shared" si="159"/>
        <v>22265795.873690896</v>
      </c>
      <c r="N316" s="152">
        <f t="shared" si="159"/>
        <v>22822440.770533167</v>
      </c>
    </row>
    <row r="317" spans="1:14" s="61" customFormat="1" ht="24" hidden="1">
      <c r="A317" s="57" t="s">
        <v>713</v>
      </c>
      <c r="B317" s="75" t="s">
        <v>542</v>
      </c>
      <c r="C317" s="40">
        <v>2001000</v>
      </c>
      <c r="D317" s="65">
        <v>1.04</v>
      </c>
      <c r="E317" s="154">
        <v>2001000</v>
      </c>
      <c r="F317" s="152">
        <f t="shared" si="137"/>
        <v>2081040</v>
      </c>
      <c r="G317" s="152">
        <f t="shared" si="153"/>
        <v>2133066</v>
      </c>
      <c r="H317" s="152">
        <f aca="true" t="shared" si="160" ref="H317:N317">+G317*1.025</f>
        <v>2186392.65</v>
      </c>
      <c r="I317" s="152">
        <f t="shared" si="160"/>
        <v>2241052.4662499996</v>
      </c>
      <c r="J317" s="152">
        <f t="shared" si="160"/>
        <v>2297078.7779062493</v>
      </c>
      <c r="K317" s="152">
        <f t="shared" si="160"/>
        <v>2354505.7473539053</v>
      </c>
      <c r="L317" s="152">
        <f t="shared" si="160"/>
        <v>2413368.391037753</v>
      </c>
      <c r="M317" s="152">
        <f t="shared" si="160"/>
        <v>2473702.6008136966</v>
      </c>
      <c r="N317" s="152">
        <f t="shared" si="160"/>
        <v>2535545.165834039</v>
      </c>
    </row>
    <row r="318" spans="1:14" s="61" customFormat="1" ht="12" hidden="1">
      <c r="A318" s="57" t="s">
        <v>550</v>
      </c>
      <c r="B318" s="75" t="s">
        <v>540</v>
      </c>
      <c r="C318" s="40">
        <v>16341000</v>
      </c>
      <c r="D318" s="65">
        <v>1.04</v>
      </c>
      <c r="E318" s="154">
        <v>16341000</v>
      </c>
      <c r="F318" s="152">
        <f t="shared" si="137"/>
        <v>16994640</v>
      </c>
      <c r="G318" s="152">
        <f t="shared" si="153"/>
        <v>17419506</v>
      </c>
      <c r="H318" s="152">
        <f aca="true" t="shared" si="161" ref="H318:N318">+G318*1.025</f>
        <v>17854993.65</v>
      </c>
      <c r="I318" s="152">
        <f t="shared" si="161"/>
        <v>18301368.491249997</v>
      </c>
      <c r="J318" s="152">
        <f t="shared" si="161"/>
        <v>18758902.703531247</v>
      </c>
      <c r="K318" s="152">
        <f t="shared" si="161"/>
        <v>19227875.271119528</v>
      </c>
      <c r="L318" s="152">
        <f t="shared" si="161"/>
        <v>19708572.152897514</v>
      </c>
      <c r="M318" s="152">
        <f t="shared" si="161"/>
        <v>20201286.45671995</v>
      </c>
      <c r="N318" s="152">
        <f t="shared" si="161"/>
        <v>20706318.61813795</v>
      </c>
    </row>
    <row r="319" spans="1:14" s="61" customFormat="1" ht="24" hidden="1">
      <c r="A319" s="69" t="s">
        <v>197</v>
      </c>
      <c r="B319" s="76" t="s">
        <v>104</v>
      </c>
      <c r="C319" s="59">
        <f>+C320</f>
        <v>30000000</v>
      </c>
      <c r="D319" s="63"/>
      <c r="E319" s="159">
        <f>+E320</f>
        <v>30000000</v>
      </c>
      <c r="F319" s="152">
        <f t="shared" si="137"/>
        <v>31200000</v>
      </c>
      <c r="G319" s="152">
        <f t="shared" si="153"/>
        <v>31979999.999999996</v>
      </c>
      <c r="H319" s="152">
        <f aca="true" t="shared" si="162" ref="H319:N319">+G319*1.025</f>
        <v>32779499.999999993</v>
      </c>
      <c r="I319" s="152">
        <f t="shared" si="162"/>
        <v>33598987.49999999</v>
      </c>
      <c r="J319" s="152">
        <f t="shared" si="162"/>
        <v>34438962.18749999</v>
      </c>
      <c r="K319" s="152">
        <f t="shared" si="162"/>
        <v>35299936.24218749</v>
      </c>
      <c r="L319" s="152">
        <f t="shared" si="162"/>
        <v>36182434.648242176</v>
      </c>
      <c r="M319" s="152">
        <f t="shared" si="162"/>
        <v>37086995.514448225</v>
      </c>
      <c r="N319" s="152">
        <f t="shared" si="162"/>
        <v>38014170.402309425</v>
      </c>
    </row>
    <row r="320" spans="1:14" s="61" customFormat="1" ht="36" hidden="1">
      <c r="A320" s="69" t="s">
        <v>601</v>
      </c>
      <c r="B320" s="58" t="s">
        <v>437</v>
      </c>
      <c r="C320" s="40">
        <f>+C321</f>
        <v>30000000</v>
      </c>
      <c r="D320" s="63"/>
      <c r="E320" s="154">
        <f>+E321</f>
        <v>30000000</v>
      </c>
      <c r="F320" s="152">
        <f t="shared" si="137"/>
        <v>31200000</v>
      </c>
      <c r="G320" s="152">
        <f t="shared" si="153"/>
        <v>31979999.999999996</v>
      </c>
      <c r="H320" s="152">
        <f aca="true" t="shared" si="163" ref="H320:N320">+G320*1.025</f>
        <v>32779499.999999993</v>
      </c>
      <c r="I320" s="152">
        <f t="shared" si="163"/>
        <v>33598987.49999999</v>
      </c>
      <c r="J320" s="152">
        <f t="shared" si="163"/>
        <v>34438962.18749999</v>
      </c>
      <c r="K320" s="152">
        <f t="shared" si="163"/>
        <v>35299936.24218749</v>
      </c>
      <c r="L320" s="152">
        <f t="shared" si="163"/>
        <v>36182434.648242176</v>
      </c>
      <c r="M320" s="152">
        <f t="shared" si="163"/>
        <v>37086995.514448225</v>
      </c>
      <c r="N320" s="152">
        <f t="shared" si="163"/>
        <v>38014170.402309425</v>
      </c>
    </row>
    <row r="321" spans="1:14" s="61" customFormat="1" ht="60" hidden="1">
      <c r="A321" s="69" t="s">
        <v>602</v>
      </c>
      <c r="B321" s="68" t="s">
        <v>438</v>
      </c>
      <c r="C321" s="40">
        <v>30000000</v>
      </c>
      <c r="D321" s="65">
        <v>1.04</v>
      </c>
      <c r="E321" s="154">
        <v>30000000</v>
      </c>
      <c r="F321" s="152">
        <f t="shared" si="137"/>
        <v>31200000</v>
      </c>
      <c r="G321" s="152">
        <f t="shared" si="153"/>
        <v>31979999.999999996</v>
      </c>
      <c r="H321" s="152">
        <f aca="true" t="shared" si="164" ref="H321:N321">+G321*1.025</f>
        <v>32779499.999999993</v>
      </c>
      <c r="I321" s="152">
        <f t="shared" si="164"/>
        <v>33598987.49999999</v>
      </c>
      <c r="J321" s="152">
        <f t="shared" si="164"/>
        <v>34438962.18749999</v>
      </c>
      <c r="K321" s="152">
        <f t="shared" si="164"/>
        <v>35299936.24218749</v>
      </c>
      <c r="L321" s="152">
        <f t="shared" si="164"/>
        <v>36182434.648242176</v>
      </c>
      <c r="M321" s="152">
        <f t="shared" si="164"/>
        <v>37086995.514448225</v>
      </c>
      <c r="N321" s="152">
        <f t="shared" si="164"/>
        <v>38014170.402309425</v>
      </c>
    </row>
    <row r="322" spans="1:14" s="61" customFormat="1" ht="24" hidden="1">
      <c r="A322" s="69" t="s">
        <v>599</v>
      </c>
      <c r="B322" s="75" t="s">
        <v>105</v>
      </c>
      <c r="C322" s="40">
        <f>+C323</f>
        <v>1000</v>
      </c>
      <c r="D322" s="63"/>
      <c r="E322" s="154">
        <f>+E323</f>
        <v>1000</v>
      </c>
      <c r="F322" s="152">
        <f t="shared" si="137"/>
        <v>1040</v>
      </c>
      <c r="G322" s="152">
        <f t="shared" si="153"/>
        <v>1066</v>
      </c>
      <c r="H322" s="152">
        <f aca="true" t="shared" si="165" ref="H322:N322">+G322*1.025</f>
        <v>1092.6499999999999</v>
      </c>
      <c r="I322" s="152">
        <f t="shared" si="165"/>
        <v>1119.9662499999997</v>
      </c>
      <c r="J322" s="152">
        <f t="shared" si="165"/>
        <v>1147.9654062499997</v>
      </c>
      <c r="K322" s="152">
        <f t="shared" si="165"/>
        <v>1176.6645414062496</v>
      </c>
      <c r="L322" s="152">
        <f t="shared" si="165"/>
        <v>1206.0811549414057</v>
      </c>
      <c r="M322" s="152">
        <f t="shared" si="165"/>
        <v>1236.2331838149407</v>
      </c>
      <c r="N322" s="152">
        <f t="shared" si="165"/>
        <v>1267.1390134103142</v>
      </c>
    </row>
    <row r="323" spans="1:14" s="61" customFormat="1" ht="12" hidden="1">
      <c r="A323" s="57" t="s">
        <v>603</v>
      </c>
      <c r="B323" s="75" t="s">
        <v>585</v>
      </c>
      <c r="C323" s="40">
        <f>+C324</f>
        <v>1000</v>
      </c>
      <c r="D323" s="63"/>
      <c r="E323" s="154">
        <f>+E324</f>
        <v>1000</v>
      </c>
      <c r="F323" s="152">
        <f t="shared" si="137"/>
        <v>1040</v>
      </c>
      <c r="G323" s="152">
        <f t="shared" si="153"/>
        <v>1066</v>
      </c>
      <c r="H323" s="152">
        <f aca="true" t="shared" si="166" ref="H323:N323">+G323*1.025</f>
        <v>1092.6499999999999</v>
      </c>
      <c r="I323" s="152">
        <f t="shared" si="166"/>
        <v>1119.9662499999997</v>
      </c>
      <c r="J323" s="152">
        <f t="shared" si="166"/>
        <v>1147.9654062499997</v>
      </c>
      <c r="K323" s="152">
        <f t="shared" si="166"/>
        <v>1176.6645414062496</v>
      </c>
      <c r="L323" s="152">
        <f t="shared" si="166"/>
        <v>1206.0811549414057</v>
      </c>
      <c r="M323" s="152">
        <f t="shared" si="166"/>
        <v>1236.2331838149407</v>
      </c>
      <c r="N323" s="152">
        <f t="shared" si="166"/>
        <v>1267.1390134103142</v>
      </c>
    </row>
    <row r="324" spans="1:14" s="61" customFormat="1" ht="12" hidden="1">
      <c r="A324" s="57" t="s">
        <v>604</v>
      </c>
      <c r="B324" s="75" t="s">
        <v>586</v>
      </c>
      <c r="C324" s="40">
        <v>1000</v>
      </c>
      <c r="D324" s="65">
        <v>1.04</v>
      </c>
      <c r="E324" s="154">
        <v>1000</v>
      </c>
      <c r="F324" s="152">
        <f t="shared" si="137"/>
        <v>1040</v>
      </c>
      <c r="G324" s="152">
        <f t="shared" si="153"/>
        <v>1066</v>
      </c>
      <c r="H324" s="152">
        <f aca="true" t="shared" si="167" ref="H324:N324">+G324*1.025</f>
        <v>1092.6499999999999</v>
      </c>
      <c r="I324" s="152">
        <f t="shared" si="167"/>
        <v>1119.9662499999997</v>
      </c>
      <c r="J324" s="152">
        <f t="shared" si="167"/>
        <v>1147.9654062499997</v>
      </c>
      <c r="K324" s="152">
        <f t="shared" si="167"/>
        <v>1176.6645414062496</v>
      </c>
      <c r="L324" s="152">
        <f t="shared" si="167"/>
        <v>1206.0811549414057</v>
      </c>
      <c r="M324" s="152">
        <f t="shared" si="167"/>
        <v>1236.2331838149407</v>
      </c>
      <c r="N324" s="152">
        <f t="shared" si="167"/>
        <v>1267.1390134103142</v>
      </c>
    </row>
    <row r="325" spans="1:14" s="61" customFormat="1" ht="12" hidden="1">
      <c r="A325" s="69" t="s">
        <v>600</v>
      </c>
      <c r="B325" s="75" t="s">
        <v>106</v>
      </c>
      <c r="C325" s="40">
        <f>+C326</f>
        <v>14000000</v>
      </c>
      <c r="D325" s="63"/>
      <c r="E325" s="154">
        <f>+E326</f>
        <v>14000000</v>
      </c>
      <c r="F325" s="152">
        <f t="shared" si="137"/>
        <v>14560000</v>
      </c>
      <c r="G325" s="152">
        <f t="shared" si="153"/>
        <v>14923999.999999998</v>
      </c>
      <c r="H325" s="152">
        <f aca="true" t="shared" si="168" ref="H325:N325">+G325*1.025</f>
        <v>15297099.999999996</v>
      </c>
      <c r="I325" s="152">
        <f t="shared" si="168"/>
        <v>15679527.499999994</v>
      </c>
      <c r="J325" s="152">
        <f t="shared" si="168"/>
        <v>16071515.687499993</v>
      </c>
      <c r="K325" s="152">
        <f t="shared" si="168"/>
        <v>16473303.579687491</v>
      </c>
      <c r="L325" s="152">
        <f t="shared" si="168"/>
        <v>16885136.169179678</v>
      </c>
      <c r="M325" s="152">
        <f t="shared" si="168"/>
        <v>17307264.57340917</v>
      </c>
      <c r="N325" s="152">
        <f t="shared" si="168"/>
        <v>17739946.187744398</v>
      </c>
    </row>
    <row r="326" spans="1:14" s="61" customFormat="1" ht="12" hidden="1">
      <c r="A326" s="57" t="s">
        <v>605</v>
      </c>
      <c r="B326" s="68" t="s">
        <v>461</v>
      </c>
      <c r="C326" s="40">
        <f>+C327</f>
        <v>14000000</v>
      </c>
      <c r="D326" s="63"/>
      <c r="E326" s="154">
        <f>+E327</f>
        <v>14000000</v>
      </c>
      <c r="F326" s="152">
        <f t="shared" si="137"/>
        <v>14560000</v>
      </c>
      <c r="G326" s="152">
        <f t="shared" si="153"/>
        <v>14923999.999999998</v>
      </c>
      <c r="H326" s="152">
        <f aca="true" t="shared" si="169" ref="H326:N326">+G326*1.025</f>
        <v>15297099.999999996</v>
      </c>
      <c r="I326" s="152">
        <f t="shared" si="169"/>
        <v>15679527.499999994</v>
      </c>
      <c r="J326" s="152">
        <f t="shared" si="169"/>
        <v>16071515.687499993</v>
      </c>
      <c r="K326" s="152">
        <f t="shared" si="169"/>
        <v>16473303.579687491</v>
      </c>
      <c r="L326" s="152">
        <f t="shared" si="169"/>
        <v>16885136.169179678</v>
      </c>
      <c r="M326" s="152">
        <f t="shared" si="169"/>
        <v>17307264.57340917</v>
      </c>
      <c r="N326" s="152">
        <f t="shared" si="169"/>
        <v>17739946.187744398</v>
      </c>
    </row>
    <row r="327" spans="1:14" s="61" customFormat="1" ht="24" hidden="1">
      <c r="A327" s="57" t="s">
        <v>606</v>
      </c>
      <c r="B327" s="68" t="s">
        <v>583</v>
      </c>
      <c r="C327" s="40">
        <v>14000000</v>
      </c>
      <c r="D327" s="65">
        <v>1.04</v>
      </c>
      <c r="E327" s="154">
        <v>14000000</v>
      </c>
      <c r="F327" s="152">
        <f t="shared" si="137"/>
        <v>14560000</v>
      </c>
      <c r="G327" s="152">
        <f t="shared" si="153"/>
        <v>14923999.999999998</v>
      </c>
      <c r="H327" s="152">
        <f aca="true" t="shared" si="170" ref="H327:N327">+G327*1.025</f>
        <v>15297099.999999996</v>
      </c>
      <c r="I327" s="152">
        <f t="shared" si="170"/>
        <v>15679527.499999994</v>
      </c>
      <c r="J327" s="152">
        <f t="shared" si="170"/>
        <v>16071515.687499993</v>
      </c>
      <c r="K327" s="152">
        <f t="shared" si="170"/>
        <v>16473303.579687491</v>
      </c>
      <c r="L327" s="152">
        <f t="shared" si="170"/>
        <v>16885136.169179678</v>
      </c>
      <c r="M327" s="152">
        <f t="shared" si="170"/>
        <v>17307264.57340917</v>
      </c>
      <c r="N327" s="152">
        <f t="shared" si="170"/>
        <v>17739946.187744398</v>
      </c>
    </row>
    <row r="328" spans="1:14" s="61" customFormat="1" ht="24" hidden="1">
      <c r="A328" s="69" t="s">
        <v>198</v>
      </c>
      <c r="B328" s="75" t="s">
        <v>107</v>
      </c>
      <c r="C328" s="40">
        <f>+C329</f>
        <v>11800000</v>
      </c>
      <c r="D328" s="63"/>
      <c r="E328" s="154">
        <f>+E329</f>
        <v>11800000</v>
      </c>
      <c r="F328" s="152">
        <f t="shared" si="137"/>
        <v>12272000</v>
      </c>
      <c r="G328" s="152">
        <f t="shared" si="153"/>
        <v>12578799.999999998</v>
      </c>
      <c r="H328" s="152">
        <f aca="true" t="shared" si="171" ref="H328:N328">+G328*1.025</f>
        <v>12893269.999999996</v>
      </c>
      <c r="I328" s="152">
        <f t="shared" si="171"/>
        <v>13215601.749999994</v>
      </c>
      <c r="J328" s="152">
        <f t="shared" si="171"/>
        <v>13545991.793749994</v>
      </c>
      <c r="K328" s="152">
        <f t="shared" si="171"/>
        <v>13884641.588593742</v>
      </c>
      <c r="L328" s="152">
        <f t="shared" si="171"/>
        <v>14231757.628308585</v>
      </c>
      <c r="M328" s="152">
        <f t="shared" si="171"/>
        <v>14587551.569016298</v>
      </c>
      <c r="N328" s="152">
        <f t="shared" si="171"/>
        <v>14952240.358241705</v>
      </c>
    </row>
    <row r="329" spans="1:14" s="61" customFormat="1" ht="12" hidden="1">
      <c r="A329" s="57" t="s">
        <v>607</v>
      </c>
      <c r="B329" s="68" t="s">
        <v>445</v>
      </c>
      <c r="C329" s="40">
        <f>+C330</f>
        <v>11800000</v>
      </c>
      <c r="D329" s="63"/>
      <c r="E329" s="154">
        <f>+E330</f>
        <v>11800000</v>
      </c>
      <c r="F329" s="152">
        <f t="shared" si="137"/>
        <v>12272000</v>
      </c>
      <c r="G329" s="152">
        <f t="shared" si="153"/>
        <v>12578799.999999998</v>
      </c>
      <c r="H329" s="152">
        <f aca="true" t="shared" si="172" ref="H329:N329">+G329*1.025</f>
        <v>12893269.999999996</v>
      </c>
      <c r="I329" s="152">
        <f t="shared" si="172"/>
        <v>13215601.749999994</v>
      </c>
      <c r="J329" s="152">
        <f t="shared" si="172"/>
        <v>13545991.793749994</v>
      </c>
      <c r="K329" s="152">
        <f t="shared" si="172"/>
        <v>13884641.588593742</v>
      </c>
      <c r="L329" s="152">
        <f t="shared" si="172"/>
        <v>14231757.628308585</v>
      </c>
      <c r="M329" s="152">
        <f t="shared" si="172"/>
        <v>14587551.569016298</v>
      </c>
      <c r="N329" s="152">
        <f t="shared" si="172"/>
        <v>14952240.358241705</v>
      </c>
    </row>
    <row r="330" spans="1:14" s="61" customFormat="1" ht="12" hidden="1">
      <c r="A330" s="57" t="s">
        <v>608</v>
      </c>
      <c r="B330" s="68" t="s">
        <v>584</v>
      </c>
      <c r="C330" s="40">
        <v>11800000</v>
      </c>
      <c r="D330" s="65">
        <v>1.04</v>
      </c>
      <c r="E330" s="154">
        <v>11800000</v>
      </c>
      <c r="F330" s="152">
        <f t="shared" si="137"/>
        <v>12272000</v>
      </c>
      <c r="G330" s="152">
        <f t="shared" si="153"/>
        <v>12578799.999999998</v>
      </c>
      <c r="H330" s="152">
        <f aca="true" t="shared" si="173" ref="H330:N330">+G330*1.025</f>
        <v>12893269.999999996</v>
      </c>
      <c r="I330" s="152">
        <f t="shared" si="173"/>
        <v>13215601.749999994</v>
      </c>
      <c r="J330" s="152">
        <f t="shared" si="173"/>
        <v>13545991.793749994</v>
      </c>
      <c r="K330" s="152">
        <f t="shared" si="173"/>
        <v>13884641.588593742</v>
      </c>
      <c r="L330" s="152">
        <f t="shared" si="173"/>
        <v>14231757.628308585</v>
      </c>
      <c r="M330" s="152">
        <f t="shared" si="173"/>
        <v>14587551.569016298</v>
      </c>
      <c r="N330" s="152">
        <f t="shared" si="173"/>
        <v>14952240.358241705</v>
      </c>
    </row>
    <row r="331" spans="1:14" s="61" customFormat="1" ht="24" hidden="1">
      <c r="A331" s="69" t="s">
        <v>199</v>
      </c>
      <c r="B331" s="58" t="s">
        <v>609</v>
      </c>
      <c r="C331" s="59">
        <f>+C332</f>
        <v>136075000</v>
      </c>
      <c r="D331" s="63"/>
      <c r="E331" s="159">
        <f>+E332</f>
        <v>136075000</v>
      </c>
      <c r="F331" s="152">
        <f t="shared" si="137"/>
        <v>141518000</v>
      </c>
      <c r="G331" s="152">
        <f t="shared" si="153"/>
        <v>145055950</v>
      </c>
      <c r="H331" s="152">
        <f aca="true" t="shared" si="174" ref="H331:N331">+G331*1.025</f>
        <v>148682348.75</v>
      </c>
      <c r="I331" s="152">
        <f t="shared" si="174"/>
        <v>152399407.46875</v>
      </c>
      <c r="J331" s="152">
        <f t="shared" si="174"/>
        <v>156209392.65546873</v>
      </c>
      <c r="K331" s="152">
        <f t="shared" si="174"/>
        <v>160114627.47185543</v>
      </c>
      <c r="L331" s="152">
        <f t="shared" si="174"/>
        <v>164117493.1586518</v>
      </c>
      <c r="M331" s="152">
        <f t="shared" si="174"/>
        <v>168220430.4876181</v>
      </c>
      <c r="N331" s="152">
        <f t="shared" si="174"/>
        <v>172425941.24980852</v>
      </c>
    </row>
    <row r="332" spans="1:14" s="61" customFormat="1" ht="36" hidden="1">
      <c r="A332" s="69" t="s">
        <v>610</v>
      </c>
      <c r="B332" s="58" t="s">
        <v>437</v>
      </c>
      <c r="C332" s="59">
        <f>SUM(C333:C335)</f>
        <v>136075000</v>
      </c>
      <c r="D332" s="63"/>
      <c r="E332" s="159">
        <f>SUM(E333:E335)</f>
        <v>136075000</v>
      </c>
      <c r="F332" s="152">
        <f t="shared" si="137"/>
        <v>141518000</v>
      </c>
      <c r="G332" s="152">
        <f t="shared" si="153"/>
        <v>145055950</v>
      </c>
      <c r="H332" s="152">
        <f aca="true" t="shared" si="175" ref="H332:N332">+G332*1.025</f>
        <v>148682348.75</v>
      </c>
      <c r="I332" s="152">
        <f t="shared" si="175"/>
        <v>152399407.46875</v>
      </c>
      <c r="J332" s="152">
        <f t="shared" si="175"/>
        <v>156209392.65546873</v>
      </c>
      <c r="K332" s="152">
        <f t="shared" si="175"/>
        <v>160114627.47185543</v>
      </c>
      <c r="L332" s="152">
        <f t="shared" si="175"/>
        <v>164117493.1586518</v>
      </c>
      <c r="M332" s="152">
        <f t="shared" si="175"/>
        <v>168220430.4876181</v>
      </c>
      <c r="N332" s="152">
        <f t="shared" si="175"/>
        <v>172425941.24980852</v>
      </c>
    </row>
    <row r="333" spans="1:14" s="61" customFormat="1" ht="60" hidden="1">
      <c r="A333" s="57" t="s">
        <v>611</v>
      </c>
      <c r="B333" s="68" t="s">
        <v>438</v>
      </c>
      <c r="C333" s="40">
        <v>63900000</v>
      </c>
      <c r="D333" s="65">
        <v>1.04</v>
      </c>
      <c r="E333" s="154">
        <v>63900000</v>
      </c>
      <c r="F333" s="152">
        <f t="shared" si="137"/>
        <v>66456000</v>
      </c>
      <c r="G333" s="152">
        <f t="shared" si="153"/>
        <v>68117400</v>
      </c>
      <c r="H333" s="152">
        <f aca="true" t="shared" si="176" ref="H333:N333">+G333*1.025</f>
        <v>69820335</v>
      </c>
      <c r="I333" s="152">
        <f t="shared" si="176"/>
        <v>71565843.375</v>
      </c>
      <c r="J333" s="152">
        <f t="shared" si="176"/>
        <v>73354989.459375</v>
      </c>
      <c r="K333" s="152">
        <f t="shared" si="176"/>
        <v>75188864.19585936</v>
      </c>
      <c r="L333" s="152">
        <f t="shared" si="176"/>
        <v>77068585.80075583</v>
      </c>
      <c r="M333" s="152">
        <f t="shared" si="176"/>
        <v>78995300.44577472</v>
      </c>
      <c r="N333" s="152">
        <f t="shared" si="176"/>
        <v>80970182.95691907</v>
      </c>
    </row>
    <row r="334" spans="1:14" s="61" customFormat="1" ht="12" hidden="1">
      <c r="A334" s="57" t="s">
        <v>612</v>
      </c>
      <c r="B334" s="68" t="s">
        <v>431</v>
      </c>
      <c r="C334" s="40">
        <v>40000000</v>
      </c>
      <c r="D334" s="65">
        <v>1.04</v>
      </c>
      <c r="E334" s="154">
        <v>40000000</v>
      </c>
      <c r="F334" s="152">
        <f t="shared" si="137"/>
        <v>41600000</v>
      </c>
      <c r="G334" s="152">
        <f t="shared" si="153"/>
        <v>42640000</v>
      </c>
      <c r="H334" s="152">
        <f aca="true" t="shared" si="177" ref="H334:N334">+G334*1.025</f>
        <v>43705999.99999999</v>
      </c>
      <c r="I334" s="152">
        <f t="shared" si="177"/>
        <v>44798649.999999985</v>
      </c>
      <c r="J334" s="152">
        <f t="shared" si="177"/>
        <v>45918616.24999998</v>
      </c>
      <c r="K334" s="152">
        <f t="shared" si="177"/>
        <v>47066581.65624997</v>
      </c>
      <c r="L334" s="152">
        <f t="shared" si="177"/>
        <v>48243246.197656214</v>
      </c>
      <c r="M334" s="152">
        <f t="shared" si="177"/>
        <v>49449327.35259762</v>
      </c>
      <c r="N334" s="152">
        <f t="shared" si="177"/>
        <v>50685560.53641255</v>
      </c>
    </row>
    <row r="335" spans="1:14" s="61" customFormat="1" ht="12" hidden="1">
      <c r="A335" s="57" t="s">
        <v>613</v>
      </c>
      <c r="B335" s="68" t="s">
        <v>439</v>
      </c>
      <c r="C335" s="40">
        <v>32175000</v>
      </c>
      <c r="D335" s="65">
        <v>1.04</v>
      </c>
      <c r="E335" s="154">
        <v>32175000</v>
      </c>
      <c r="F335" s="152">
        <f t="shared" si="137"/>
        <v>33462000</v>
      </c>
      <c r="G335" s="152">
        <f t="shared" si="153"/>
        <v>34298550</v>
      </c>
      <c r="H335" s="152">
        <f aca="true" t="shared" si="178" ref="H335:N335">+G335*1.025</f>
        <v>35156013.75</v>
      </c>
      <c r="I335" s="152">
        <f t="shared" si="178"/>
        <v>36034914.09375</v>
      </c>
      <c r="J335" s="152">
        <f t="shared" si="178"/>
        <v>36935786.946093746</v>
      </c>
      <c r="K335" s="152">
        <f t="shared" si="178"/>
        <v>37859181.61974609</v>
      </c>
      <c r="L335" s="152">
        <f t="shared" si="178"/>
        <v>38805661.16023974</v>
      </c>
      <c r="M335" s="152">
        <f t="shared" si="178"/>
        <v>39775802.68924573</v>
      </c>
      <c r="N335" s="152">
        <f t="shared" si="178"/>
        <v>40770197.75647687</v>
      </c>
    </row>
    <row r="336" spans="1:14" s="61" customFormat="1" ht="12" hidden="1">
      <c r="A336" s="69" t="s">
        <v>200</v>
      </c>
      <c r="B336" s="58" t="s">
        <v>541</v>
      </c>
      <c r="C336" s="59">
        <f>+C337</f>
        <v>14500000</v>
      </c>
      <c r="D336" s="63"/>
      <c r="E336" s="159">
        <f>+E337</f>
        <v>14500000</v>
      </c>
      <c r="F336" s="152">
        <f t="shared" si="137"/>
        <v>15080000</v>
      </c>
      <c r="G336" s="152">
        <f t="shared" si="153"/>
        <v>15456999.999999998</v>
      </c>
      <c r="H336" s="152">
        <f aca="true" t="shared" si="179" ref="H336:N336">+G336*1.025</f>
        <v>15843424.999999996</v>
      </c>
      <c r="I336" s="152">
        <f t="shared" si="179"/>
        <v>16239510.624999994</v>
      </c>
      <c r="J336" s="152">
        <f t="shared" si="179"/>
        <v>16645498.390624993</v>
      </c>
      <c r="K336" s="152">
        <f t="shared" si="179"/>
        <v>17061635.850390617</v>
      </c>
      <c r="L336" s="152">
        <f t="shared" si="179"/>
        <v>17488176.74665038</v>
      </c>
      <c r="M336" s="152">
        <f t="shared" si="179"/>
        <v>17925381.165316638</v>
      </c>
      <c r="N336" s="152">
        <f t="shared" si="179"/>
        <v>18373515.69444955</v>
      </c>
    </row>
    <row r="337" spans="1:14" s="61" customFormat="1" ht="12" hidden="1">
      <c r="A337" s="57" t="s">
        <v>614</v>
      </c>
      <c r="B337" s="58" t="s">
        <v>543</v>
      </c>
      <c r="C337" s="40">
        <v>14500000</v>
      </c>
      <c r="D337" s="63"/>
      <c r="E337" s="154">
        <v>14500000</v>
      </c>
      <c r="F337" s="152">
        <f t="shared" si="137"/>
        <v>15080000</v>
      </c>
      <c r="G337" s="152">
        <f t="shared" si="153"/>
        <v>15456999.999999998</v>
      </c>
      <c r="H337" s="152">
        <f aca="true" t="shared" si="180" ref="H337:N337">+G337*1.025</f>
        <v>15843424.999999996</v>
      </c>
      <c r="I337" s="152">
        <f t="shared" si="180"/>
        <v>16239510.624999994</v>
      </c>
      <c r="J337" s="152">
        <f t="shared" si="180"/>
        <v>16645498.390624993</v>
      </c>
      <c r="K337" s="152">
        <f t="shared" si="180"/>
        <v>17061635.850390617</v>
      </c>
      <c r="L337" s="152">
        <f t="shared" si="180"/>
        <v>17488176.74665038</v>
      </c>
      <c r="M337" s="152">
        <f t="shared" si="180"/>
        <v>17925381.165316638</v>
      </c>
      <c r="N337" s="152">
        <f t="shared" si="180"/>
        <v>18373515.69444955</v>
      </c>
    </row>
    <row r="338" spans="1:14" s="61" customFormat="1" ht="36" hidden="1">
      <c r="A338" s="57" t="s">
        <v>615</v>
      </c>
      <c r="B338" s="68" t="s">
        <v>428</v>
      </c>
      <c r="C338" s="40">
        <v>14500000</v>
      </c>
      <c r="D338" s="65">
        <v>1.04</v>
      </c>
      <c r="E338" s="154">
        <v>14500000</v>
      </c>
      <c r="F338" s="152">
        <f t="shared" si="137"/>
        <v>15080000</v>
      </c>
      <c r="G338" s="152">
        <f t="shared" si="153"/>
        <v>15456999.999999998</v>
      </c>
      <c r="H338" s="152">
        <f aca="true" t="shared" si="181" ref="H338:N338">+G338*1.025</f>
        <v>15843424.999999996</v>
      </c>
      <c r="I338" s="152">
        <f t="shared" si="181"/>
        <v>16239510.624999994</v>
      </c>
      <c r="J338" s="152">
        <f t="shared" si="181"/>
        <v>16645498.390624993</v>
      </c>
      <c r="K338" s="152">
        <f t="shared" si="181"/>
        <v>17061635.850390617</v>
      </c>
      <c r="L338" s="152">
        <f t="shared" si="181"/>
        <v>17488176.74665038</v>
      </c>
      <c r="M338" s="152">
        <f t="shared" si="181"/>
        <v>17925381.165316638</v>
      </c>
      <c r="N338" s="152">
        <f t="shared" si="181"/>
        <v>18373515.69444955</v>
      </c>
    </row>
    <row r="339" spans="3:14" s="61" customFormat="1" ht="15" customHeight="1" hidden="1">
      <c r="C339" s="62"/>
      <c r="D339" s="63"/>
      <c r="E339" s="160"/>
      <c r="F339" s="152">
        <f t="shared" si="137"/>
        <v>0</v>
      </c>
      <c r="G339" s="152">
        <f t="shared" si="153"/>
        <v>0</v>
      </c>
      <c r="H339" s="152">
        <f aca="true" t="shared" si="182" ref="H339:N339">+G339*1.025</f>
        <v>0</v>
      </c>
      <c r="I339" s="152">
        <f t="shared" si="182"/>
        <v>0</v>
      </c>
      <c r="J339" s="152">
        <f t="shared" si="182"/>
        <v>0</v>
      </c>
      <c r="K339" s="152">
        <f t="shared" si="182"/>
        <v>0</v>
      </c>
      <c r="L339" s="152">
        <f t="shared" si="182"/>
        <v>0</v>
      </c>
      <c r="M339" s="152">
        <f t="shared" si="182"/>
        <v>0</v>
      </c>
      <c r="N339" s="152">
        <f t="shared" si="182"/>
        <v>0</v>
      </c>
    </row>
    <row r="340" spans="1:14" s="61" customFormat="1" ht="12">
      <c r="A340" s="69" t="s">
        <v>158</v>
      </c>
      <c r="B340" s="58" t="s">
        <v>549</v>
      </c>
      <c r="C340" s="59">
        <f>+C341+C345+C349+C353+C357+C361+C365+C369</f>
        <v>10136822528</v>
      </c>
      <c r="D340" s="63"/>
      <c r="E340" s="159">
        <v>8567958000</v>
      </c>
      <c r="F340" s="152">
        <f aca="true" t="shared" si="183" ref="F340:F374">+E340*1.04</f>
        <v>8910676320</v>
      </c>
      <c r="G340" s="152">
        <f t="shared" si="153"/>
        <v>9133443228</v>
      </c>
      <c r="H340" s="152">
        <f aca="true" t="shared" si="184" ref="H340:N340">+G340*1.025</f>
        <v>9361779308.699999</v>
      </c>
      <c r="I340" s="152">
        <f t="shared" si="184"/>
        <v>9595823791.417498</v>
      </c>
      <c r="J340" s="152">
        <f t="shared" si="184"/>
        <v>9835719386.202934</v>
      </c>
      <c r="K340" s="152">
        <f t="shared" si="184"/>
        <v>10081612370.858007</v>
      </c>
      <c r="L340" s="152">
        <f t="shared" si="184"/>
        <v>10333652680.129457</v>
      </c>
      <c r="M340" s="152">
        <f t="shared" si="184"/>
        <v>10591993997.132692</v>
      </c>
      <c r="N340" s="152">
        <f t="shared" si="184"/>
        <v>10856793847.061008</v>
      </c>
    </row>
    <row r="341" spans="1:14" s="61" customFormat="1" ht="12" hidden="1">
      <c r="A341" s="57" t="s">
        <v>545</v>
      </c>
      <c r="B341" s="58" t="s">
        <v>574</v>
      </c>
      <c r="C341" s="59">
        <f>+C342</f>
        <v>5381415195</v>
      </c>
      <c r="D341" s="63"/>
      <c r="E341" s="159">
        <f>+E342</f>
        <v>5381415195</v>
      </c>
      <c r="F341" s="152">
        <f t="shared" si="183"/>
        <v>5596671802.8</v>
      </c>
      <c r="G341" s="152">
        <f t="shared" si="153"/>
        <v>5736588597.87</v>
      </c>
      <c r="H341" s="152">
        <f aca="true" t="shared" si="185" ref="H341:N341">+G341*1.025</f>
        <v>5880003312.81675</v>
      </c>
      <c r="I341" s="152">
        <f t="shared" si="185"/>
        <v>6027003395.637168</v>
      </c>
      <c r="J341" s="152">
        <f t="shared" si="185"/>
        <v>6177678480.528096</v>
      </c>
      <c r="K341" s="152">
        <f t="shared" si="185"/>
        <v>6332120442.541298</v>
      </c>
      <c r="L341" s="152">
        <f t="shared" si="185"/>
        <v>6490423453.60483</v>
      </c>
      <c r="M341" s="152">
        <f t="shared" si="185"/>
        <v>6652684039.94495</v>
      </c>
      <c r="N341" s="152">
        <f t="shared" si="185"/>
        <v>6819001140.943573</v>
      </c>
    </row>
    <row r="342" spans="1:14" s="61" customFormat="1" ht="12" hidden="1">
      <c r="A342" s="57" t="s">
        <v>546</v>
      </c>
      <c r="B342" s="58" t="s">
        <v>369</v>
      </c>
      <c r="C342" s="40">
        <f>+C343</f>
        <v>5381415195</v>
      </c>
      <c r="D342" s="63"/>
      <c r="E342" s="154">
        <f>+E343</f>
        <v>5381415195</v>
      </c>
      <c r="F342" s="152">
        <f t="shared" si="183"/>
        <v>5596671802.8</v>
      </c>
      <c r="G342" s="152">
        <f aca="true" t="shared" si="186" ref="G342:N373">+F342*1.025</f>
        <v>5736588597.87</v>
      </c>
      <c r="H342" s="152">
        <f t="shared" si="186"/>
        <v>5880003312.81675</v>
      </c>
      <c r="I342" s="152">
        <f t="shared" si="186"/>
        <v>6027003395.637168</v>
      </c>
      <c r="J342" s="152">
        <f t="shared" si="186"/>
        <v>6177678480.528096</v>
      </c>
      <c r="K342" s="152">
        <f t="shared" si="186"/>
        <v>6332120442.541298</v>
      </c>
      <c r="L342" s="152">
        <f t="shared" si="186"/>
        <v>6490423453.60483</v>
      </c>
      <c r="M342" s="152">
        <f t="shared" si="186"/>
        <v>6652684039.94495</v>
      </c>
      <c r="N342" s="152">
        <f t="shared" si="186"/>
        <v>6819001140.943573</v>
      </c>
    </row>
    <row r="343" spans="1:14" s="61" customFormat="1" ht="12" hidden="1">
      <c r="A343" s="57" t="s">
        <v>547</v>
      </c>
      <c r="B343" s="68" t="s">
        <v>411</v>
      </c>
      <c r="C343" s="40">
        <f>+C344</f>
        <v>5381415195</v>
      </c>
      <c r="D343" s="63"/>
      <c r="E343" s="154">
        <f>+E344</f>
        <v>5381415195</v>
      </c>
      <c r="F343" s="152">
        <f t="shared" si="183"/>
        <v>5596671802.8</v>
      </c>
      <c r="G343" s="152">
        <f t="shared" si="186"/>
        <v>5736588597.87</v>
      </c>
      <c r="H343" s="152">
        <f t="shared" si="186"/>
        <v>5880003312.81675</v>
      </c>
      <c r="I343" s="152">
        <f t="shared" si="186"/>
        <v>6027003395.637168</v>
      </c>
      <c r="J343" s="152">
        <f t="shared" si="186"/>
        <v>6177678480.528096</v>
      </c>
      <c r="K343" s="152">
        <f t="shared" si="186"/>
        <v>6332120442.541298</v>
      </c>
      <c r="L343" s="152">
        <f t="shared" si="186"/>
        <v>6490423453.60483</v>
      </c>
      <c r="M343" s="152">
        <f t="shared" si="186"/>
        <v>6652684039.94495</v>
      </c>
      <c r="N343" s="152">
        <f t="shared" si="186"/>
        <v>6819001140.943573</v>
      </c>
    </row>
    <row r="344" spans="1:14" s="61" customFormat="1" ht="24" hidden="1">
      <c r="A344" s="57" t="s">
        <v>548</v>
      </c>
      <c r="B344" s="68" t="s">
        <v>573</v>
      </c>
      <c r="C344" s="40">
        <v>5381415195</v>
      </c>
      <c r="D344" s="65">
        <v>1.04</v>
      </c>
      <c r="E344" s="154">
        <v>5381415195</v>
      </c>
      <c r="F344" s="152">
        <f t="shared" si="183"/>
        <v>5596671802.8</v>
      </c>
      <c r="G344" s="152">
        <f t="shared" si="186"/>
        <v>5736588597.87</v>
      </c>
      <c r="H344" s="152">
        <f t="shared" si="186"/>
        <v>5880003312.81675</v>
      </c>
      <c r="I344" s="152">
        <f t="shared" si="186"/>
        <v>6027003395.637168</v>
      </c>
      <c r="J344" s="152">
        <f t="shared" si="186"/>
        <v>6177678480.528096</v>
      </c>
      <c r="K344" s="152">
        <f t="shared" si="186"/>
        <v>6332120442.541298</v>
      </c>
      <c r="L344" s="152">
        <f t="shared" si="186"/>
        <v>6490423453.60483</v>
      </c>
      <c r="M344" s="152">
        <f t="shared" si="186"/>
        <v>6652684039.94495</v>
      </c>
      <c r="N344" s="152">
        <f t="shared" si="186"/>
        <v>6819001140.943573</v>
      </c>
    </row>
    <row r="345" spans="1:14" s="61" customFormat="1" ht="12" hidden="1">
      <c r="A345" s="57" t="s">
        <v>551</v>
      </c>
      <c r="B345" s="76" t="s">
        <v>224</v>
      </c>
      <c r="C345" s="59">
        <f>+C346</f>
        <v>109085226</v>
      </c>
      <c r="D345" s="63"/>
      <c r="E345" s="159">
        <f>+E346</f>
        <v>109085226</v>
      </c>
      <c r="F345" s="152">
        <f t="shared" si="183"/>
        <v>113448635.04</v>
      </c>
      <c r="G345" s="152">
        <f t="shared" si="186"/>
        <v>116284850.916</v>
      </c>
      <c r="H345" s="152">
        <f t="shared" si="186"/>
        <v>119191972.18889998</v>
      </c>
      <c r="I345" s="152">
        <f t="shared" si="186"/>
        <v>122171771.49362247</v>
      </c>
      <c r="J345" s="152">
        <f t="shared" si="186"/>
        <v>125226065.78096302</v>
      </c>
      <c r="K345" s="152">
        <f t="shared" si="186"/>
        <v>128356717.42548709</v>
      </c>
      <c r="L345" s="152">
        <f t="shared" si="186"/>
        <v>131565635.36112425</v>
      </c>
      <c r="M345" s="152">
        <f t="shared" si="186"/>
        <v>134854776.24515235</v>
      </c>
      <c r="N345" s="152">
        <f t="shared" si="186"/>
        <v>138226145.65128115</v>
      </c>
    </row>
    <row r="346" spans="1:14" s="61" customFormat="1" ht="12" hidden="1">
      <c r="A346" s="57" t="s">
        <v>552</v>
      </c>
      <c r="B346" s="58" t="s">
        <v>369</v>
      </c>
      <c r="C346" s="40">
        <f>+C347</f>
        <v>109085226</v>
      </c>
      <c r="D346" s="63"/>
      <c r="E346" s="154">
        <f>+E347</f>
        <v>109085226</v>
      </c>
      <c r="F346" s="152">
        <f t="shared" si="183"/>
        <v>113448635.04</v>
      </c>
      <c r="G346" s="152">
        <f t="shared" si="186"/>
        <v>116284850.916</v>
      </c>
      <c r="H346" s="152">
        <f t="shared" si="186"/>
        <v>119191972.18889998</v>
      </c>
      <c r="I346" s="152">
        <f t="shared" si="186"/>
        <v>122171771.49362247</v>
      </c>
      <c r="J346" s="152">
        <f t="shared" si="186"/>
        <v>125226065.78096302</v>
      </c>
      <c r="K346" s="152">
        <f t="shared" si="186"/>
        <v>128356717.42548709</v>
      </c>
      <c r="L346" s="152">
        <f t="shared" si="186"/>
        <v>131565635.36112425</v>
      </c>
      <c r="M346" s="152">
        <f t="shared" si="186"/>
        <v>134854776.24515235</v>
      </c>
      <c r="N346" s="152">
        <f t="shared" si="186"/>
        <v>138226145.65128115</v>
      </c>
    </row>
    <row r="347" spans="1:14" s="61" customFormat="1" ht="12" hidden="1">
      <c r="A347" s="57" t="s">
        <v>553</v>
      </c>
      <c r="B347" s="68" t="s">
        <v>411</v>
      </c>
      <c r="C347" s="40">
        <f>+C348</f>
        <v>109085226</v>
      </c>
      <c r="D347" s="63"/>
      <c r="E347" s="154">
        <f>+E348</f>
        <v>109085226</v>
      </c>
      <c r="F347" s="152">
        <f t="shared" si="183"/>
        <v>113448635.04</v>
      </c>
      <c r="G347" s="152">
        <f t="shared" si="186"/>
        <v>116284850.916</v>
      </c>
      <c r="H347" s="152">
        <f t="shared" si="186"/>
        <v>119191972.18889998</v>
      </c>
      <c r="I347" s="152">
        <f t="shared" si="186"/>
        <v>122171771.49362247</v>
      </c>
      <c r="J347" s="152">
        <f t="shared" si="186"/>
        <v>125226065.78096302</v>
      </c>
      <c r="K347" s="152">
        <f t="shared" si="186"/>
        <v>128356717.42548709</v>
      </c>
      <c r="L347" s="152">
        <f t="shared" si="186"/>
        <v>131565635.36112425</v>
      </c>
      <c r="M347" s="152">
        <f t="shared" si="186"/>
        <v>134854776.24515235</v>
      </c>
      <c r="N347" s="152">
        <f t="shared" si="186"/>
        <v>138226145.65128115</v>
      </c>
    </row>
    <row r="348" spans="1:14" s="61" customFormat="1" ht="24" hidden="1">
      <c r="A348" s="57" t="s">
        <v>554</v>
      </c>
      <c r="B348" s="68" t="s">
        <v>573</v>
      </c>
      <c r="C348" s="40">
        <v>109085226</v>
      </c>
      <c r="D348" s="65">
        <v>1.04</v>
      </c>
      <c r="E348" s="154">
        <v>109085226</v>
      </c>
      <c r="F348" s="152">
        <f t="shared" si="183"/>
        <v>113448635.04</v>
      </c>
      <c r="G348" s="152">
        <f t="shared" si="186"/>
        <v>116284850.916</v>
      </c>
      <c r="H348" s="152">
        <f t="shared" si="186"/>
        <v>119191972.18889998</v>
      </c>
      <c r="I348" s="152">
        <f t="shared" si="186"/>
        <v>122171771.49362247</v>
      </c>
      <c r="J348" s="152">
        <f t="shared" si="186"/>
        <v>125226065.78096302</v>
      </c>
      <c r="K348" s="152">
        <f t="shared" si="186"/>
        <v>128356717.42548709</v>
      </c>
      <c r="L348" s="152">
        <f t="shared" si="186"/>
        <v>131565635.36112425</v>
      </c>
      <c r="M348" s="152">
        <f t="shared" si="186"/>
        <v>134854776.24515235</v>
      </c>
      <c r="N348" s="152">
        <f t="shared" si="186"/>
        <v>138226145.65128115</v>
      </c>
    </row>
    <row r="349" spans="1:14" s="61" customFormat="1" ht="24" hidden="1">
      <c r="A349" s="57" t="s">
        <v>555</v>
      </c>
      <c r="B349" s="58" t="s">
        <v>147</v>
      </c>
      <c r="C349" s="59">
        <f>+C350</f>
        <v>160552107</v>
      </c>
      <c r="D349" s="63"/>
      <c r="E349" s="159">
        <f>+E350</f>
        <v>160552107</v>
      </c>
      <c r="F349" s="152">
        <f t="shared" si="183"/>
        <v>166974191.28</v>
      </c>
      <c r="G349" s="152">
        <f t="shared" si="186"/>
        <v>171148546.06199998</v>
      </c>
      <c r="H349" s="152">
        <f t="shared" si="186"/>
        <v>175427259.71354997</v>
      </c>
      <c r="I349" s="152">
        <f t="shared" si="186"/>
        <v>179812941.2063887</v>
      </c>
      <c r="J349" s="152">
        <f t="shared" si="186"/>
        <v>184308264.73654842</v>
      </c>
      <c r="K349" s="152">
        <f t="shared" si="186"/>
        <v>188915971.3549621</v>
      </c>
      <c r="L349" s="152">
        <f t="shared" si="186"/>
        <v>193638870.63883615</v>
      </c>
      <c r="M349" s="152">
        <f t="shared" si="186"/>
        <v>198479842.40480703</v>
      </c>
      <c r="N349" s="152">
        <f t="shared" si="186"/>
        <v>203441838.4649272</v>
      </c>
    </row>
    <row r="350" spans="1:14" s="61" customFormat="1" ht="12" hidden="1">
      <c r="A350" s="57" t="s">
        <v>556</v>
      </c>
      <c r="B350" s="58" t="s">
        <v>369</v>
      </c>
      <c r="C350" s="40">
        <f>+C351</f>
        <v>160552107</v>
      </c>
      <c r="D350" s="63"/>
      <c r="E350" s="154">
        <f>+E351</f>
        <v>160552107</v>
      </c>
      <c r="F350" s="152">
        <f t="shared" si="183"/>
        <v>166974191.28</v>
      </c>
      <c r="G350" s="152">
        <f t="shared" si="186"/>
        <v>171148546.06199998</v>
      </c>
      <c r="H350" s="152">
        <f t="shared" si="186"/>
        <v>175427259.71354997</v>
      </c>
      <c r="I350" s="152">
        <f t="shared" si="186"/>
        <v>179812941.2063887</v>
      </c>
      <c r="J350" s="152">
        <f t="shared" si="186"/>
        <v>184308264.73654842</v>
      </c>
      <c r="K350" s="152">
        <f t="shared" si="186"/>
        <v>188915971.3549621</v>
      </c>
      <c r="L350" s="152">
        <f t="shared" si="186"/>
        <v>193638870.63883615</v>
      </c>
      <c r="M350" s="152">
        <f t="shared" si="186"/>
        <v>198479842.40480703</v>
      </c>
      <c r="N350" s="152">
        <f t="shared" si="186"/>
        <v>203441838.4649272</v>
      </c>
    </row>
    <row r="351" spans="1:14" s="61" customFormat="1" ht="12" hidden="1">
      <c r="A351" s="57" t="s">
        <v>557</v>
      </c>
      <c r="B351" s="68" t="s">
        <v>411</v>
      </c>
      <c r="C351" s="40">
        <f>+C352</f>
        <v>160552107</v>
      </c>
      <c r="D351" s="63"/>
      <c r="E351" s="154">
        <f>+E352</f>
        <v>160552107</v>
      </c>
      <c r="F351" s="152">
        <f t="shared" si="183"/>
        <v>166974191.28</v>
      </c>
      <c r="G351" s="152">
        <f t="shared" si="186"/>
        <v>171148546.06199998</v>
      </c>
      <c r="H351" s="152">
        <f t="shared" si="186"/>
        <v>175427259.71354997</v>
      </c>
      <c r="I351" s="152">
        <f t="shared" si="186"/>
        <v>179812941.2063887</v>
      </c>
      <c r="J351" s="152">
        <f t="shared" si="186"/>
        <v>184308264.73654842</v>
      </c>
      <c r="K351" s="152">
        <f t="shared" si="186"/>
        <v>188915971.3549621</v>
      </c>
      <c r="L351" s="152">
        <f t="shared" si="186"/>
        <v>193638870.63883615</v>
      </c>
      <c r="M351" s="152">
        <f t="shared" si="186"/>
        <v>198479842.40480703</v>
      </c>
      <c r="N351" s="152">
        <f t="shared" si="186"/>
        <v>203441838.4649272</v>
      </c>
    </row>
    <row r="352" spans="1:14" s="61" customFormat="1" ht="24" hidden="1">
      <c r="A352" s="57" t="s">
        <v>558</v>
      </c>
      <c r="B352" s="68" t="s">
        <v>573</v>
      </c>
      <c r="C352" s="40">
        <v>160552107</v>
      </c>
      <c r="D352" s="65">
        <v>1.04</v>
      </c>
      <c r="E352" s="154">
        <v>160552107</v>
      </c>
      <c r="F352" s="152">
        <f t="shared" si="183"/>
        <v>166974191.28</v>
      </c>
      <c r="G352" s="152">
        <f t="shared" si="186"/>
        <v>171148546.06199998</v>
      </c>
      <c r="H352" s="152">
        <f t="shared" si="186"/>
        <v>175427259.71354997</v>
      </c>
      <c r="I352" s="152">
        <f t="shared" si="186"/>
        <v>179812941.2063887</v>
      </c>
      <c r="J352" s="152">
        <f t="shared" si="186"/>
        <v>184308264.73654842</v>
      </c>
      <c r="K352" s="152">
        <f t="shared" si="186"/>
        <v>188915971.3549621</v>
      </c>
      <c r="L352" s="152">
        <f t="shared" si="186"/>
        <v>193638870.63883615</v>
      </c>
      <c r="M352" s="152">
        <f t="shared" si="186"/>
        <v>198479842.40480703</v>
      </c>
      <c r="N352" s="152">
        <f t="shared" si="186"/>
        <v>203441838.4649272</v>
      </c>
    </row>
    <row r="353" spans="1:14" s="61" customFormat="1" ht="12" hidden="1">
      <c r="A353" s="57" t="s">
        <v>559</v>
      </c>
      <c r="B353" s="76" t="s">
        <v>572</v>
      </c>
      <c r="C353" s="59">
        <f>+C354</f>
        <v>4219000000</v>
      </c>
      <c r="D353" s="63"/>
      <c r="E353" s="159">
        <f>+E354</f>
        <v>4219000000</v>
      </c>
      <c r="F353" s="152">
        <f t="shared" si="183"/>
        <v>4387760000</v>
      </c>
      <c r="G353" s="152">
        <f t="shared" si="186"/>
        <v>4497454000</v>
      </c>
      <c r="H353" s="152">
        <f t="shared" si="186"/>
        <v>4609890350</v>
      </c>
      <c r="I353" s="152">
        <f t="shared" si="186"/>
        <v>4725137608.75</v>
      </c>
      <c r="J353" s="152">
        <f t="shared" si="186"/>
        <v>4843266048.96875</v>
      </c>
      <c r="K353" s="152">
        <f t="shared" si="186"/>
        <v>4964347700.192968</v>
      </c>
      <c r="L353" s="152">
        <f t="shared" si="186"/>
        <v>5088456392.697792</v>
      </c>
      <c r="M353" s="152">
        <f t="shared" si="186"/>
        <v>5215667802.515237</v>
      </c>
      <c r="N353" s="152">
        <f t="shared" si="186"/>
        <v>5346059497.578117</v>
      </c>
    </row>
    <row r="354" spans="1:14" s="61" customFormat="1" ht="12" hidden="1">
      <c r="A354" s="57" t="s">
        <v>560</v>
      </c>
      <c r="B354" s="58" t="s">
        <v>369</v>
      </c>
      <c r="C354" s="40">
        <f>+C355</f>
        <v>4219000000</v>
      </c>
      <c r="D354" s="63"/>
      <c r="E354" s="154">
        <f>+E355</f>
        <v>4219000000</v>
      </c>
      <c r="F354" s="152">
        <f t="shared" si="183"/>
        <v>4387760000</v>
      </c>
      <c r="G354" s="152">
        <f t="shared" si="186"/>
        <v>4497454000</v>
      </c>
      <c r="H354" s="152">
        <f t="shared" si="186"/>
        <v>4609890350</v>
      </c>
      <c r="I354" s="152">
        <f t="shared" si="186"/>
        <v>4725137608.75</v>
      </c>
      <c r="J354" s="152">
        <f t="shared" si="186"/>
        <v>4843266048.96875</v>
      </c>
      <c r="K354" s="152">
        <f t="shared" si="186"/>
        <v>4964347700.192968</v>
      </c>
      <c r="L354" s="152">
        <f t="shared" si="186"/>
        <v>5088456392.697792</v>
      </c>
      <c r="M354" s="152">
        <f t="shared" si="186"/>
        <v>5215667802.515237</v>
      </c>
      <c r="N354" s="152">
        <f t="shared" si="186"/>
        <v>5346059497.578117</v>
      </c>
    </row>
    <row r="355" spans="1:14" s="61" customFormat="1" ht="12" hidden="1">
      <c r="A355" s="57" t="s">
        <v>561</v>
      </c>
      <c r="B355" s="68" t="s">
        <v>411</v>
      </c>
      <c r="C355" s="40">
        <f>+C356</f>
        <v>4219000000</v>
      </c>
      <c r="D355" s="63"/>
      <c r="E355" s="154">
        <f>+E356</f>
        <v>4219000000</v>
      </c>
      <c r="F355" s="152">
        <f t="shared" si="183"/>
        <v>4387760000</v>
      </c>
      <c r="G355" s="152">
        <f t="shared" si="186"/>
        <v>4497454000</v>
      </c>
      <c r="H355" s="152">
        <f t="shared" si="186"/>
        <v>4609890350</v>
      </c>
      <c r="I355" s="152">
        <f t="shared" si="186"/>
        <v>4725137608.75</v>
      </c>
      <c r="J355" s="152">
        <f t="shared" si="186"/>
        <v>4843266048.96875</v>
      </c>
      <c r="K355" s="152">
        <f t="shared" si="186"/>
        <v>4964347700.192968</v>
      </c>
      <c r="L355" s="152">
        <f t="shared" si="186"/>
        <v>5088456392.697792</v>
      </c>
      <c r="M355" s="152">
        <f t="shared" si="186"/>
        <v>5215667802.515237</v>
      </c>
      <c r="N355" s="152">
        <f t="shared" si="186"/>
        <v>5346059497.578117</v>
      </c>
    </row>
    <row r="356" spans="1:14" s="61" customFormat="1" ht="24" hidden="1">
      <c r="A356" s="57" t="s">
        <v>562</v>
      </c>
      <c r="B356" s="68" t="s">
        <v>412</v>
      </c>
      <c r="C356" s="40">
        <v>4219000000</v>
      </c>
      <c r="D356" s="65">
        <v>1.04</v>
      </c>
      <c r="E356" s="154">
        <v>4219000000</v>
      </c>
      <c r="F356" s="152">
        <f t="shared" si="183"/>
        <v>4387760000</v>
      </c>
      <c r="G356" s="152">
        <f t="shared" si="186"/>
        <v>4497454000</v>
      </c>
      <c r="H356" s="152">
        <f t="shared" si="186"/>
        <v>4609890350</v>
      </c>
      <c r="I356" s="152">
        <f t="shared" si="186"/>
        <v>4725137608.75</v>
      </c>
      <c r="J356" s="152">
        <f t="shared" si="186"/>
        <v>4843266048.96875</v>
      </c>
      <c r="K356" s="152">
        <f t="shared" si="186"/>
        <v>4964347700.192968</v>
      </c>
      <c r="L356" s="152">
        <f t="shared" si="186"/>
        <v>5088456392.697792</v>
      </c>
      <c r="M356" s="152">
        <f t="shared" si="186"/>
        <v>5215667802.515237</v>
      </c>
      <c r="N356" s="152">
        <f t="shared" si="186"/>
        <v>5346059497.578117</v>
      </c>
    </row>
    <row r="357" spans="1:14" s="61" customFormat="1" ht="12" hidden="1">
      <c r="A357" s="57" t="s">
        <v>563</v>
      </c>
      <c r="B357" s="76" t="s">
        <v>103</v>
      </c>
      <c r="C357" s="59">
        <f>+C358</f>
        <v>67900000</v>
      </c>
      <c r="D357" s="63"/>
      <c r="E357" s="159">
        <f>+E358</f>
        <v>67900000</v>
      </c>
      <c r="F357" s="152">
        <f t="shared" si="183"/>
        <v>70616000</v>
      </c>
      <c r="G357" s="152">
        <f t="shared" si="186"/>
        <v>72381400</v>
      </c>
      <c r="H357" s="152">
        <f t="shared" si="186"/>
        <v>74190935</v>
      </c>
      <c r="I357" s="152">
        <f t="shared" si="186"/>
        <v>76045708.375</v>
      </c>
      <c r="J357" s="152">
        <f t="shared" si="186"/>
        <v>77946851.084375</v>
      </c>
      <c r="K357" s="152">
        <f t="shared" si="186"/>
        <v>79895522.36148436</v>
      </c>
      <c r="L357" s="152">
        <f t="shared" si="186"/>
        <v>81892910.42052147</v>
      </c>
      <c r="M357" s="152">
        <f t="shared" si="186"/>
        <v>83940233.18103449</v>
      </c>
      <c r="N357" s="152">
        <f t="shared" si="186"/>
        <v>86038739.01056035</v>
      </c>
    </row>
    <row r="358" spans="1:14" s="61" customFormat="1" ht="12" hidden="1">
      <c r="A358" s="57" t="s">
        <v>564</v>
      </c>
      <c r="B358" s="68" t="s">
        <v>369</v>
      </c>
      <c r="C358" s="40">
        <f>+C359</f>
        <v>67900000</v>
      </c>
      <c r="D358" s="63"/>
      <c r="E358" s="154">
        <f>+E359</f>
        <v>67900000</v>
      </c>
      <c r="F358" s="152">
        <f t="shared" si="183"/>
        <v>70616000</v>
      </c>
      <c r="G358" s="152">
        <f t="shared" si="186"/>
        <v>72381400</v>
      </c>
      <c r="H358" s="152">
        <f t="shared" si="186"/>
        <v>74190935</v>
      </c>
      <c r="I358" s="152">
        <f t="shared" si="186"/>
        <v>76045708.375</v>
      </c>
      <c r="J358" s="152">
        <f t="shared" si="186"/>
        <v>77946851.084375</v>
      </c>
      <c r="K358" s="152">
        <f t="shared" si="186"/>
        <v>79895522.36148436</v>
      </c>
      <c r="L358" s="152">
        <f t="shared" si="186"/>
        <v>81892910.42052147</v>
      </c>
      <c r="M358" s="152">
        <f t="shared" si="186"/>
        <v>83940233.18103449</v>
      </c>
      <c r="N358" s="152">
        <f t="shared" si="186"/>
        <v>86038739.01056035</v>
      </c>
    </row>
    <row r="359" spans="1:14" s="61" customFormat="1" ht="12" hidden="1">
      <c r="A359" s="57" t="s">
        <v>565</v>
      </c>
      <c r="B359" s="68" t="s">
        <v>411</v>
      </c>
      <c r="C359" s="40">
        <f>+C360</f>
        <v>67900000</v>
      </c>
      <c r="D359" s="63"/>
      <c r="E359" s="154">
        <f>+E360</f>
        <v>67900000</v>
      </c>
      <c r="F359" s="152">
        <f t="shared" si="183"/>
        <v>70616000</v>
      </c>
      <c r="G359" s="152">
        <f t="shared" si="186"/>
        <v>72381400</v>
      </c>
      <c r="H359" s="152">
        <f t="shared" si="186"/>
        <v>74190935</v>
      </c>
      <c r="I359" s="152">
        <f t="shared" si="186"/>
        <v>76045708.375</v>
      </c>
      <c r="J359" s="152">
        <f t="shared" si="186"/>
        <v>77946851.084375</v>
      </c>
      <c r="K359" s="152">
        <f t="shared" si="186"/>
        <v>79895522.36148436</v>
      </c>
      <c r="L359" s="152">
        <f t="shared" si="186"/>
        <v>81892910.42052147</v>
      </c>
      <c r="M359" s="152">
        <f t="shared" si="186"/>
        <v>83940233.18103449</v>
      </c>
      <c r="N359" s="152">
        <f t="shared" si="186"/>
        <v>86038739.01056035</v>
      </c>
    </row>
    <row r="360" spans="1:14" s="61" customFormat="1" ht="24" hidden="1">
      <c r="A360" s="57" t="s">
        <v>566</v>
      </c>
      <c r="B360" s="68" t="s">
        <v>412</v>
      </c>
      <c r="C360" s="40">
        <v>67900000</v>
      </c>
      <c r="D360" s="65">
        <v>1.04</v>
      </c>
      <c r="E360" s="154">
        <v>67900000</v>
      </c>
      <c r="F360" s="152">
        <f t="shared" si="183"/>
        <v>70616000</v>
      </c>
      <c r="G360" s="152">
        <f t="shared" si="186"/>
        <v>72381400</v>
      </c>
      <c r="H360" s="152">
        <f t="shared" si="186"/>
        <v>74190935</v>
      </c>
      <c r="I360" s="152">
        <f t="shared" si="186"/>
        <v>76045708.375</v>
      </c>
      <c r="J360" s="152">
        <f t="shared" si="186"/>
        <v>77946851.084375</v>
      </c>
      <c r="K360" s="152">
        <f t="shared" si="186"/>
        <v>79895522.36148436</v>
      </c>
      <c r="L360" s="152">
        <f t="shared" si="186"/>
        <v>81892910.42052147</v>
      </c>
      <c r="M360" s="152">
        <f t="shared" si="186"/>
        <v>83940233.18103449</v>
      </c>
      <c r="N360" s="152">
        <f t="shared" si="186"/>
        <v>86038739.01056035</v>
      </c>
    </row>
    <row r="361" spans="1:14" s="66" customFormat="1" ht="12" hidden="1">
      <c r="A361" s="69" t="s">
        <v>567</v>
      </c>
      <c r="B361" s="76" t="s">
        <v>108</v>
      </c>
      <c r="C361" s="59">
        <f>+C362</f>
        <v>198769000</v>
      </c>
      <c r="D361" s="65"/>
      <c r="E361" s="159">
        <f>+E362</f>
        <v>198769000</v>
      </c>
      <c r="F361" s="152">
        <f t="shared" si="183"/>
        <v>206719760</v>
      </c>
      <c r="G361" s="152">
        <f t="shared" si="186"/>
        <v>211887753.99999997</v>
      </c>
      <c r="H361" s="152">
        <f t="shared" si="186"/>
        <v>217184947.84999996</v>
      </c>
      <c r="I361" s="152">
        <f t="shared" si="186"/>
        <v>222614571.54624996</v>
      </c>
      <c r="J361" s="152">
        <f t="shared" si="186"/>
        <v>228179935.8349062</v>
      </c>
      <c r="K361" s="152">
        <f t="shared" si="186"/>
        <v>233884434.2307788</v>
      </c>
      <c r="L361" s="152">
        <f t="shared" si="186"/>
        <v>239731545.08654827</v>
      </c>
      <c r="M361" s="152">
        <f t="shared" si="186"/>
        <v>245724833.71371195</v>
      </c>
      <c r="N361" s="152">
        <f t="shared" si="186"/>
        <v>251867954.55655473</v>
      </c>
    </row>
    <row r="362" spans="1:14" s="61" customFormat="1" ht="12" hidden="1">
      <c r="A362" s="57" t="s">
        <v>568</v>
      </c>
      <c r="B362" s="68" t="s">
        <v>369</v>
      </c>
      <c r="C362" s="40">
        <f>+C363</f>
        <v>198769000</v>
      </c>
      <c r="D362" s="63"/>
      <c r="E362" s="154">
        <f>+E363</f>
        <v>198769000</v>
      </c>
      <c r="F362" s="152">
        <f t="shared" si="183"/>
        <v>206719760</v>
      </c>
      <c r="G362" s="152">
        <f t="shared" si="186"/>
        <v>211887753.99999997</v>
      </c>
      <c r="H362" s="152">
        <f t="shared" si="186"/>
        <v>217184947.84999996</v>
      </c>
      <c r="I362" s="152">
        <f t="shared" si="186"/>
        <v>222614571.54624996</v>
      </c>
      <c r="J362" s="152">
        <f t="shared" si="186"/>
        <v>228179935.8349062</v>
      </c>
      <c r="K362" s="152">
        <f t="shared" si="186"/>
        <v>233884434.2307788</v>
      </c>
      <c r="L362" s="152">
        <f t="shared" si="186"/>
        <v>239731545.08654827</v>
      </c>
      <c r="M362" s="152">
        <f t="shared" si="186"/>
        <v>245724833.71371195</v>
      </c>
      <c r="N362" s="152">
        <f t="shared" si="186"/>
        <v>251867954.55655473</v>
      </c>
    </row>
    <row r="363" spans="1:14" s="61" customFormat="1" ht="12" hidden="1">
      <c r="A363" s="57" t="s">
        <v>569</v>
      </c>
      <c r="B363" s="68" t="s">
        <v>411</v>
      </c>
      <c r="C363" s="40">
        <f>+C364</f>
        <v>198769000</v>
      </c>
      <c r="D363" s="63"/>
      <c r="E363" s="154">
        <f>+E364</f>
        <v>198769000</v>
      </c>
      <c r="F363" s="152">
        <f t="shared" si="183"/>
        <v>206719760</v>
      </c>
      <c r="G363" s="152">
        <f t="shared" si="186"/>
        <v>211887753.99999997</v>
      </c>
      <c r="H363" s="152">
        <f t="shared" si="186"/>
        <v>217184947.84999996</v>
      </c>
      <c r="I363" s="152">
        <f t="shared" si="186"/>
        <v>222614571.54624996</v>
      </c>
      <c r="J363" s="152">
        <f t="shared" si="186"/>
        <v>228179935.8349062</v>
      </c>
      <c r="K363" s="152">
        <f t="shared" si="186"/>
        <v>233884434.2307788</v>
      </c>
      <c r="L363" s="152">
        <f t="shared" si="186"/>
        <v>239731545.08654827</v>
      </c>
      <c r="M363" s="152">
        <f t="shared" si="186"/>
        <v>245724833.71371195</v>
      </c>
      <c r="N363" s="152">
        <f t="shared" si="186"/>
        <v>251867954.55655473</v>
      </c>
    </row>
    <row r="364" spans="1:14" s="61" customFormat="1" ht="24" hidden="1">
      <c r="A364" s="57" t="s">
        <v>570</v>
      </c>
      <c r="B364" s="68" t="s">
        <v>412</v>
      </c>
      <c r="C364" s="36">
        <v>198769000</v>
      </c>
      <c r="D364" s="65">
        <v>1.04</v>
      </c>
      <c r="E364" s="153">
        <v>198769000</v>
      </c>
      <c r="F364" s="152">
        <f t="shared" si="183"/>
        <v>206719760</v>
      </c>
      <c r="G364" s="152">
        <f t="shared" si="186"/>
        <v>211887753.99999997</v>
      </c>
      <c r="H364" s="152">
        <f t="shared" si="186"/>
        <v>217184947.84999996</v>
      </c>
      <c r="I364" s="152">
        <f t="shared" si="186"/>
        <v>222614571.54624996</v>
      </c>
      <c r="J364" s="152">
        <f t="shared" si="186"/>
        <v>228179935.8349062</v>
      </c>
      <c r="K364" s="152">
        <f t="shared" si="186"/>
        <v>233884434.2307788</v>
      </c>
      <c r="L364" s="152">
        <f t="shared" si="186"/>
        <v>239731545.08654827</v>
      </c>
      <c r="M364" s="152">
        <f t="shared" si="186"/>
        <v>245724833.71371195</v>
      </c>
      <c r="N364" s="152">
        <f t="shared" si="186"/>
        <v>251867954.55655473</v>
      </c>
    </row>
    <row r="365" spans="1:14" s="66" customFormat="1" ht="24" hidden="1">
      <c r="A365" s="69" t="s">
        <v>575</v>
      </c>
      <c r="B365" s="76" t="s">
        <v>571</v>
      </c>
      <c r="C365" s="59">
        <f>+C366</f>
        <v>100000</v>
      </c>
      <c r="D365" s="65"/>
      <c r="E365" s="159">
        <f>+E366</f>
        <v>100000</v>
      </c>
      <c r="F365" s="152">
        <f t="shared" si="183"/>
        <v>104000</v>
      </c>
      <c r="G365" s="152">
        <f t="shared" si="186"/>
        <v>106599.99999999999</v>
      </c>
      <c r="H365" s="152">
        <f t="shared" si="186"/>
        <v>109264.99999999997</v>
      </c>
      <c r="I365" s="152">
        <f t="shared" si="186"/>
        <v>111996.62499999996</v>
      </c>
      <c r="J365" s="152">
        <f t="shared" si="186"/>
        <v>114796.54062499995</v>
      </c>
      <c r="K365" s="152">
        <f t="shared" si="186"/>
        <v>117666.45414062493</v>
      </c>
      <c r="L365" s="152">
        <f t="shared" si="186"/>
        <v>120608.11549414054</v>
      </c>
      <c r="M365" s="152">
        <f t="shared" si="186"/>
        <v>123623.31838149404</v>
      </c>
      <c r="N365" s="152">
        <f t="shared" si="186"/>
        <v>126713.90134103138</v>
      </c>
    </row>
    <row r="366" spans="1:14" s="61" customFormat="1" ht="12" hidden="1">
      <c r="A366" s="57" t="s">
        <v>576</v>
      </c>
      <c r="B366" s="68" t="s">
        <v>369</v>
      </c>
      <c r="C366" s="40">
        <f>+C367</f>
        <v>100000</v>
      </c>
      <c r="D366" s="63"/>
      <c r="E366" s="154">
        <f>+E367</f>
        <v>100000</v>
      </c>
      <c r="F366" s="152">
        <f t="shared" si="183"/>
        <v>104000</v>
      </c>
      <c r="G366" s="152">
        <f t="shared" si="186"/>
        <v>106599.99999999999</v>
      </c>
      <c r="H366" s="152">
        <f t="shared" si="186"/>
        <v>109264.99999999997</v>
      </c>
      <c r="I366" s="152">
        <f t="shared" si="186"/>
        <v>111996.62499999996</v>
      </c>
      <c r="J366" s="152">
        <f t="shared" si="186"/>
        <v>114796.54062499995</v>
      </c>
      <c r="K366" s="152">
        <f t="shared" si="186"/>
        <v>117666.45414062493</v>
      </c>
      <c r="L366" s="152">
        <f t="shared" si="186"/>
        <v>120608.11549414054</v>
      </c>
      <c r="M366" s="152">
        <f t="shared" si="186"/>
        <v>123623.31838149404</v>
      </c>
      <c r="N366" s="152">
        <f t="shared" si="186"/>
        <v>126713.90134103138</v>
      </c>
    </row>
    <row r="367" spans="1:14" s="61" customFormat="1" ht="12" hidden="1">
      <c r="A367" s="57" t="s">
        <v>577</v>
      </c>
      <c r="B367" s="68" t="s">
        <v>411</v>
      </c>
      <c r="C367" s="40">
        <f>+C368</f>
        <v>100000</v>
      </c>
      <c r="D367" s="63"/>
      <c r="E367" s="154">
        <f>+E368</f>
        <v>100000</v>
      </c>
      <c r="F367" s="152">
        <f t="shared" si="183"/>
        <v>104000</v>
      </c>
      <c r="G367" s="152">
        <f t="shared" si="186"/>
        <v>106599.99999999999</v>
      </c>
      <c r="H367" s="152">
        <f t="shared" si="186"/>
        <v>109264.99999999997</v>
      </c>
      <c r="I367" s="152">
        <f t="shared" si="186"/>
        <v>111996.62499999996</v>
      </c>
      <c r="J367" s="152">
        <f t="shared" si="186"/>
        <v>114796.54062499995</v>
      </c>
      <c r="K367" s="152">
        <f t="shared" si="186"/>
        <v>117666.45414062493</v>
      </c>
      <c r="L367" s="152">
        <f t="shared" si="186"/>
        <v>120608.11549414054</v>
      </c>
      <c r="M367" s="152">
        <f t="shared" si="186"/>
        <v>123623.31838149404</v>
      </c>
      <c r="N367" s="152">
        <f t="shared" si="186"/>
        <v>126713.90134103138</v>
      </c>
    </row>
    <row r="368" spans="1:14" s="61" customFormat="1" ht="24" hidden="1">
      <c r="A368" s="57" t="s">
        <v>578</v>
      </c>
      <c r="B368" s="68" t="s">
        <v>412</v>
      </c>
      <c r="C368" s="40">
        <v>100000</v>
      </c>
      <c r="D368" s="65">
        <v>1.04</v>
      </c>
      <c r="E368" s="154">
        <v>100000</v>
      </c>
      <c r="F368" s="152">
        <f t="shared" si="183"/>
        <v>104000</v>
      </c>
      <c r="G368" s="152">
        <f t="shared" si="186"/>
        <v>106599.99999999999</v>
      </c>
      <c r="H368" s="152">
        <f t="shared" si="186"/>
        <v>109264.99999999997</v>
      </c>
      <c r="I368" s="152">
        <f t="shared" si="186"/>
        <v>111996.62499999996</v>
      </c>
      <c r="J368" s="152">
        <f t="shared" si="186"/>
        <v>114796.54062499995</v>
      </c>
      <c r="K368" s="152">
        <f t="shared" si="186"/>
        <v>117666.45414062493</v>
      </c>
      <c r="L368" s="152">
        <f t="shared" si="186"/>
        <v>120608.11549414054</v>
      </c>
      <c r="M368" s="152">
        <f t="shared" si="186"/>
        <v>123623.31838149404</v>
      </c>
      <c r="N368" s="152">
        <f t="shared" si="186"/>
        <v>126713.90134103138</v>
      </c>
    </row>
    <row r="369" spans="1:14" s="66" customFormat="1" ht="12" hidden="1">
      <c r="A369" s="69" t="s">
        <v>579</v>
      </c>
      <c r="B369" s="29" t="s">
        <v>389</v>
      </c>
      <c r="C369" s="59">
        <f>+C370</f>
        <v>1000</v>
      </c>
      <c r="D369" s="65"/>
      <c r="E369" s="159">
        <f>+E370</f>
        <v>1000</v>
      </c>
      <c r="F369" s="152">
        <f t="shared" si="183"/>
        <v>1040</v>
      </c>
      <c r="G369" s="152">
        <f t="shared" si="186"/>
        <v>1066</v>
      </c>
      <c r="H369" s="152">
        <f t="shared" si="186"/>
        <v>1092.6499999999999</v>
      </c>
      <c r="I369" s="152">
        <f t="shared" si="186"/>
        <v>1119.9662499999997</v>
      </c>
      <c r="J369" s="152">
        <f t="shared" si="186"/>
        <v>1147.9654062499997</v>
      </c>
      <c r="K369" s="152">
        <f t="shared" si="186"/>
        <v>1176.6645414062496</v>
      </c>
      <c r="L369" s="152">
        <f t="shared" si="186"/>
        <v>1206.0811549414057</v>
      </c>
      <c r="M369" s="152">
        <f t="shared" si="186"/>
        <v>1236.2331838149407</v>
      </c>
      <c r="N369" s="152">
        <f t="shared" si="186"/>
        <v>1267.1390134103142</v>
      </c>
    </row>
    <row r="370" spans="1:14" s="61" customFormat="1" ht="12" hidden="1">
      <c r="A370" s="57" t="s">
        <v>580</v>
      </c>
      <c r="B370" s="68" t="s">
        <v>369</v>
      </c>
      <c r="C370" s="40">
        <f>+C371</f>
        <v>1000</v>
      </c>
      <c r="D370" s="63"/>
      <c r="E370" s="154">
        <f>+E371</f>
        <v>1000</v>
      </c>
      <c r="F370" s="152">
        <f t="shared" si="183"/>
        <v>1040</v>
      </c>
      <c r="G370" s="152">
        <f t="shared" si="186"/>
        <v>1066</v>
      </c>
      <c r="H370" s="152">
        <f t="shared" si="186"/>
        <v>1092.6499999999999</v>
      </c>
      <c r="I370" s="152">
        <f t="shared" si="186"/>
        <v>1119.9662499999997</v>
      </c>
      <c r="J370" s="152">
        <f t="shared" si="186"/>
        <v>1147.9654062499997</v>
      </c>
      <c r="K370" s="152">
        <f t="shared" si="186"/>
        <v>1176.6645414062496</v>
      </c>
      <c r="L370" s="152">
        <f t="shared" si="186"/>
        <v>1206.0811549414057</v>
      </c>
      <c r="M370" s="152">
        <f t="shared" si="186"/>
        <v>1236.2331838149407</v>
      </c>
      <c r="N370" s="152">
        <f t="shared" si="186"/>
        <v>1267.1390134103142</v>
      </c>
    </row>
    <row r="371" spans="1:14" s="61" customFormat="1" ht="12" hidden="1">
      <c r="A371" s="57" t="s">
        <v>581</v>
      </c>
      <c r="B371" s="68" t="s">
        <v>411</v>
      </c>
      <c r="C371" s="40">
        <f>+C372</f>
        <v>1000</v>
      </c>
      <c r="D371" s="63"/>
      <c r="E371" s="154">
        <f>+E372</f>
        <v>1000</v>
      </c>
      <c r="F371" s="152">
        <f t="shared" si="183"/>
        <v>1040</v>
      </c>
      <c r="G371" s="152">
        <f t="shared" si="186"/>
        <v>1066</v>
      </c>
      <c r="H371" s="152">
        <f t="shared" si="186"/>
        <v>1092.6499999999999</v>
      </c>
      <c r="I371" s="152">
        <f t="shared" si="186"/>
        <v>1119.9662499999997</v>
      </c>
      <c r="J371" s="152">
        <f t="shared" si="186"/>
        <v>1147.9654062499997</v>
      </c>
      <c r="K371" s="152">
        <f t="shared" si="186"/>
        <v>1176.6645414062496</v>
      </c>
      <c r="L371" s="152">
        <f t="shared" si="186"/>
        <v>1206.0811549414057</v>
      </c>
      <c r="M371" s="152">
        <f t="shared" si="186"/>
        <v>1236.2331838149407</v>
      </c>
      <c r="N371" s="152">
        <f t="shared" si="186"/>
        <v>1267.1390134103142</v>
      </c>
    </row>
    <row r="372" spans="1:14" s="61" customFormat="1" ht="24" hidden="1">
      <c r="A372" s="57" t="s">
        <v>582</v>
      </c>
      <c r="B372" s="68" t="s">
        <v>412</v>
      </c>
      <c r="C372" s="40">
        <v>1000</v>
      </c>
      <c r="D372" s="65">
        <v>1.04</v>
      </c>
      <c r="E372" s="154">
        <v>1000</v>
      </c>
      <c r="F372" s="152">
        <f t="shared" si="183"/>
        <v>1040</v>
      </c>
      <c r="G372" s="152">
        <f t="shared" si="186"/>
        <v>1066</v>
      </c>
      <c r="H372" s="152">
        <f t="shared" si="186"/>
        <v>1092.6499999999999</v>
      </c>
      <c r="I372" s="152">
        <f t="shared" si="186"/>
        <v>1119.9662499999997</v>
      </c>
      <c r="J372" s="152">
        <f t="shared" si="186"/>
        <v>1147.9654062499997</v>
      </c>
      <c r="K372" s="152">
        <f t="shared" si="186"/>
        <v>1176.6645414062496</v>
      </c>
      <c r="L372" s="152">
        <f t="shared" si="186"/>
        <v>1206.0811549414057</v>
      </c>
      <c r="M372" s="152">
        <f t="shared" si="186"/>
        <v>1236.2331838149407</v>
      </c>
      <c r="N372" s="152">
        <f t="shared" si="186"/>
        <v>1267.1390134103142</v>
      </c>
    </row>
    <row r="373" spans="3:14" s="61" customFormat="1" ht="12" hidden="1">
      <c r="C373" s="62"/>
      <c r="D373" s="63"/>
      <c r="E373" s="160"/>
      <c r="F373" s="152">
        <f t="shared" si="183"/>
        <v>0</v>
      </c>
      <c r="G373" s="152">
        <f t="shared" si="186"/>
        <v>0</v>
      </c>
      <c r="H373" s="152">
        <f t="shared" si="186"/>
        <v>0</v>
      </c>
      <c r="I373" s="152">
        <f t="shared" si="186"/>
        <v>0</v>
      </c>
      <c r="J373" s="152">
        <f t="shared" si="186"/>
        <v>0</v>
      </c>
      <c r="K373" s="152">
        <f t="shared" si="186"/>
        <v>0</v>
      </c>
      <c r="L373" s="152">
        <f t="shared" si="186"/>
        <v>0</v>
      </c>
      <c r="M373" s="152">
        <f>+L373*1.025</f>
        <v>0</v>
      </c>
      <c r="N373" s="152">
        <f>+M373*1.025</f>
        <v>0</v>
      </c>
    </row>
    <row r="374" spans="1:14" s="66" customFormat="1" ht="12">
      <c r="A374" s="69" t="s">
        <v>544</v>
      </c>
      <c r="B374" s="76" t="s">
        <v>109</v>
      </c>
      <c r="C374" s="59">
        <f>+C375+C378+C382</f>
        <v>13000</v>
      </c>
      <c r="D374" s="65"/>
      <c r="E374" s="159">
        <v>47004000</v>
      </c>
      <c r="F374" s="152">
        <f t="shared" si="183"/>
        <v>48884160</v>
      </c>
      <c r="G374" s="152">
        <f>+F374*1.025+3074085+2050915</f>
        <v>55231263.99999999</v>
      </c>
      <c r="H374" s="152">
        <f>+G374*1.025+5125000</f>
        <v>61737045.59999999</v>
      </c>
      <c r="I374" s="152">
        <f>+H374*1.025+5125000</f>
        <v>68405471.73999998</v>
      </c>
      <c r="J374" s="152">
        <f>+I374*1.025+5125000</f>
        <v>75240608.53349997</v>
      </c>
      <c r="K374" s="152">
        <f>+J374*1.025</f>
        <v>77121623.74683747</v>
      </c>
      <c r="L374" s="152">
        <f>+K374*1.025</f>
        <v>79049664.3405084</v>
      </c>
      <c r="M374" s="152">
        <f>+L374*1.025</f>
        <v>81025905.9490211</v>
      </c>
      <c r="N374" s="152">
        <f>+M374*1.025</f>
        <v>83051553.59774663</v>
      </c>
    </row>
    <row r="375" spans="1:14" s="61" customFormat="1" ht="12" hidden="1">
      <c r="A375" s="57" t="s">
        <v>587</v>
      </c>
      <c r="B375" s="75" t="s">
        <v>108</v>
      </c>
      <c r="C375" s="40">
        <f>+C376+C377</f>
        <v>2000</v>
      </c>
      <c r="D375" s="63"/>
      <c r="E375" s="154">
        <f aca="true" t="shared" si="187" ref="E375:N375">+E376+E377</f>
        <v>2000</v>
      </c>
      <c r="F375" s="154">
        <f t="shared" si="187"/>
        <v>2080</v>
      </c>
      <c r="G375" s="154" t="e">
        <f t="shared" si="187"/>
        <v>#REF!</v>
      </c>
      <c r="H375" s="154" t="e">
        <f t="shared" si="187"/>
        <v>#REF!</v>
      </c>
      <c r="I375" s="154" t="e">
        <f t="shared" si="187"/>
        <v>#REF!</v>
      </c>
      <c r="J375" s="154" t="e">
        <f t="shared" si="187"/>
        <v>#REF!</v>
      </c>
      <c r="K375" s="154" t="e">
        <f t="shared" si="187"/>
        <v>#REF!</v>
      </c>
      <c r="L375" s="154" t="e">
        <f t="shared" si="187"/>
        <v>#REF!</v>
      </c>
      <c r="M375" s="154" t="e">
        <f t="shared" si="187"/>
        <v>#REF!</v>
      </c>
      <c r="N375" s="154" t="e">
        <f t="shared" si="187"/>
        <v>#REF!</v>
      </c>
    </row>
    <row r="376" spans="1:14" s="61" customFormat="1" ht="12" hidden="1">
      <c r="A376" s="57" t="s">
        <v>591</v>
      </c>
      <c r="B376" s="34" t="s">
        <v>372</v>
      </c>
      <c r="C376" s="40">
        <v>1000</v>
      </c>
      <c r="D376" s="65">
        <v>1.04</v>
      </c>
      <c r="E376" s="154">
        <v>1000</v>
      </c>
      <c r="F376" s="154">
        <f>+C376*D376</f>
        <v>1040</v>
      </c>
      <c r="G376" s="154" t="e">
        <f>+F376*#REF!</f>
        <v>#REF!</v>
      </c>
      <c r="H376" s="154" t="e">
        <f>+G376*#REF!</f>
        <v>#REF!</v>
      </c>
      <c r="I376" s="154" t="e">
        <f>+H376*#REF!</f>
        <v>#REF!</v>
      </c>
      <c r="J376" s="154" t="e">
        <f>+I376*#REF!</f>
        <v>#REF!</v>
      </c>
      <c r="K376" s="154" t="e">
        <f>+J376*#REF!</f>
        <v>#REF!</v>
      </c>
      <c r="L376" s="154" t="e">
        <f>+K376*#REF!</f>
        <v>#REF!</v>
      </c>
      <c r="M376" s="154" t="e">
        <f>+L376*#REF!</f>
        <v>#REF!</v>
      </c>
      <c r="N376" s="154" t="e">
        <f>+M376*#REF!</f>
        <v>#REF!</v>
      </c>
    </row>
    <row r="377" spans="1:14" s="61" customFormat="1" ht="12" hidden="1">
      <c r="A377" s="57" t="s">
        <v>592</v>
      </c>
      <c r="B377" s="34" t="s">
        <v>374</v>
      </c>
      <c r="C377" s="40">
        <v>1000</v>
      </c>
      <c r="D377" s="65">
        <v>1.04</v>
      </c>
      <c r="E377" s="154">
        <v>1000</v>
      </c>
      <c r="F377" s="154">
        <f>+C377*D377</f>
        <v>1040</v>
      </c>
      <c r="G377" s="154" t="e">
        <f>+F377*#REF!</f>
        <v>#REF!</v>
      </c>
      <c r="H377" s="154" t="e">
        <f>+G377*#REF!</f>
        <v>#REF!</v>
      </c>
      <c r="I377" s="154" t="e">
        <f>+H377*#REF!</f>
        <v>#REF!</v>
      </c>
      <c r="J377" s="154" t="e">
        <f>+I377*#REF!</f>
        <v>#REF!</v>
      </c>
      <c r="K377" s="154" t="e">
        <f>+J377*#REF!</f>
        <v>#REF!</v>
      </c>
      <c r="L377" s="154" t="e">
        <f>+K377*#REF!</f>
        <v>#REF!</v>
      </c>
      <c r="M377" s="154" t="e">
        <f>+L377*#REF!</f>
        <v>#REF!</v>
      </c>
      <c r="N377" s="154" t="e">
        <f>+M377*#REF!</f>
        <v>#REF!</v>
      </c>
    </row>
    <row r="378" spans="1:14" s="61" customFormat="1" ht="12" hidden="1">
      <c r="A378" s="57" t="s">
        <v>588</v>
      </c>
      <c r="B378" s="29" t="s">
        <v>589</v>
      </c>
      <c r="C378" s="40">
        <f>SUM(C379:C381)</f>
        <v>7000</v>
      </c>
      <c r="D378" s="63"/>
      <c r="E378" s="154">
        <f aca="true" t="shared" si="188" ref="E378:N378">SUM(E379:E381)</f>
        <v>7000</v>
      </c>
      <c r="F378" s="154">
        <f t="shared" si="188"/>
        <v>7280</v>
      </c>
      <c r="G378" s="154" t="e">
        <f t="shared" si="188"/>
        <v>#REF!</v>
      </c>
      <c r="H378" s="154" t="e">
        <f t="shared" si="188"/>
        <v>#REF!</v>
      </c>
      <c r="I378" s="154" t="e">
        <f t="shared" si="188"/>
        <v>#REF!</v>
      </c>
      <c r="J378" s="154" t="e">
        <f t="shared" si="188"/>
        <v>#REF!</v>
      </c>
      <c r="K378" s="154" t="e">
        <f t="shared" si="188"/>
        <v>#REF!</v>
      </c>
      <c r="L378" s="154" t="e">
        <f t="shared" si="188"/>
        <v>#REF!</v>
      </c>
      <c r="M378" s="154" t="e">
        <f t="shared" si="188"/>
        <v>#REF!</v>
      </c>
      <c r="N378" s="154" t="e">
        <f t="shared" si="188"/>
        <v>#REF!</v>
      </c>
    </row>
    <row r="379" spans="1:14" s="61" customFormat="1" ht="12" hidden="1">
      <c r="A379" s="57" t="s">
        <v>593</v>
      </c>
      <c r="B379" s="34" t="s">
        <v>376</v>
      </c>
      <c r="C379" s="40">
        <v>3000</v>
      </c>
      <c r="D379" s="65">
        <v>1.04</v>
      </c>
      <c r="E379" s="154">
        <v>3000</v>
      </c>
      <c r="F379" s="154">
        <f>+C379*D379</f>
        <v>3120</v>
      </c>
      <c r="G379" s="154" t="e">
        <f>+F379*#REF!</f>
        <v>#REF!</v>
      </c>
      <c r="H379" s="154" t="e">
        <f>+G379*#REF!</f>
        <v>#REF!</v>
      </c>
      <c r="I379" s="154" t="e">
        <f>+H379*#REF!</f>
        <v>#REF!</v>
      </c>
      <c r="J379" s="154" t="e">
        <f>+I379*#REF!</f>
        <v>#REF!</v>
      </c>
      <c r="K379" s="154" t="e">
        <f>+J379*#REF!</f>
        <v>#REF!</v>
      </c>
      <c r="L379" s="154" t="e">
        <f>+K379*#REF!</f>
        <v>#REF!</v>
      </c>
      <c r="M379" s="154" t="e">
        <f>+L379*#REF!</f>
        <v>#REF!</v>
      </c>
      <c r="N379" s="154" t="e">
        <f>+M379*#REF!</f>
        <v>#REF!</v>
      </c>
    </row>
    <row r="380" spans="1:14" s="61" customFormat="1" ht="12" hidden="1">
      <c r="A380" s="57" t="s">
        <v>594</v>
      </c>
      <c r="B380" s="34" t="s">
        <v>380</v>
      </c>
      <c r="C380" s="40">
        <v>2000</v>
      </c>
      <c r="D380" s="65">
        <v>1.04</v>
      </c>
      <c r="E380" s="154">
        <v>2000</v>
      </c>
      <c r="F380" s="154">
        <f>+C380*D380</f>
        <v>2080</v>
      </c>
      <c r="G380" s="154" t="e">
        <f>+F380*#REF!</f>
        <v>#REF!</v>
      </c>
      <c r="H380" s="154" t="e">
        <f>+G380*#REF!</f>
        <v>#REF!</v>
      </c>
      <c r="I380" s="154" t="e">
        <f>+H380*#REF!</f>
        <v>#REF!</v>
      </c>
      <c r="J380" s="154" t="e">
        <f>+I380*#REF!</f>
        <v>#REF!</v>
      </c>
      <c r="K380" s="154" t="e">
        <f>+J380*#REF!</f>
        <v>#REF!</v>
      </c>
      <c r="L380" s="154" t="e">
        <f>+K380*#REF!</f>
        <v>#REF!</v>
      </c>
      <c r="M380" s="154" t="e">
        <f>+L380*#REF!</f>
        <v>#REF!</v>
      </c>
      <c r="N380" s="154" t="e">
        <f>+M380*#REF!</f>
        <v>#REF!</v>
      </c>
    </row>
    <row r="381" spans="1:14" s="61" customFormat="1" ht="24" hidden="1">
      <c r="A381" s="57" t="s">
        <v>595</v>
      </c>
      <c r="B381" s="34" t="s">
        <v>385</v>
      </c>
      <c r="C381" s="40">
        <v>2000</v>
      </c>
      <c r="D381" s="65">
        <v>1.04</v>
      </c>
      <c r="E381" s="154">
        <v>2000</v>
      </c>
      <c r="F381" s="154">
        <f>+C381*D381</f>
        <v>2080</v>
      </c>
      <c r="G381" s="154" t="e">
        <f>+F381*#REF!</f>
        <v>#REF!</v>
      </c>
      <c r="H381" s="154" t="e">
        <f>+G381*#REF!</f>
        <v>#REF!</v>
      </c>
      <c r="I381" s="154" t="e">
        <f>+H381*#REF!</f>
        <v>#REF!</v>
      </c>
      <c r="J381" s="154" t="e">
        <f>+I381*#REF!</f>
        <v>#REF!</v>
      </c>
      <c r="K381" s="154" t="e">
        <f>+J381*#REF!</f>
        <v>#REF!</v>
      </c>
      <c r="L381" s="154" t="e">
        <f>+K381*#REF!</f>
        <v>#REF!</v>
      </c>
      <c r="M381" s="154" t="e">
        <f>+L381*#REF!</f>
        <v>#REF!</v>
      </c>
      <c r="N381" s="154" t="e">
        <f>+M381*#REF!</f>
        <v>#REF!</v>
      </c>
    </row>
    <row r="382" spans="1:14" s="61" customFormat="1" ht="12" hidden="1">
      <c r="A382" s="57" t="s">
        <v>590</v>
      </c>
      <c r="B382" s="29" t="s">
        <v>389</v>
      </c>
      <c r="C382" s="40">
        <f>+C383</f>
        <v>4000</v>
      </c>
      <c r="D382" s="63"/>
      <c r="E382" s="154">
        <f aca="true" t="shared" si="189" ref="E382:N384">+E383</f>
        <v>4000</v>
      </c>
      <c r="F382" s="154">
        <f t="shared" si="189"/>
        <v>4160</v>
      </c>
      <c r="G382" s="154" t="e">
        <f t="shared" si="189"/>
        <v>#REF!</v>
      </c>
      <c r="H382" s="154" t="e">
        <f t="shared" si="189"/>
        <v>#REF!</v>
      </c>
      <c r="I382" s="154" t="e">
        <f t="shared" si="189"/>
        <v>#REF!</v>
      </c>
      <c r="J382" s="154" t="e">
        <f t="shared" si="189"/>
        <v>#REF!</v>
      </c>
      <c r="K382" s="154" t="e">
        <f t="shared" si="189"/>
        <v>#REF!</v>
      </c>
      <c r="L382" s="154" t="e">
        <f t="shared" si="189"/>
        <v>#REF!</v>
      </c>
      <c r="M382" s="154" t="e">
        <f t="shared" si="189"/>
        <v>#REF!</v>
      </c>
      <c r="N382" s="154" t="e">
        <f t="shared" si="189"/>
        <v>#REF!</v>
      </c>
    </row>
    <row r="383" spans="1:14" s="61" customFormat="1" ht="12" hidden="1">
      <c r="A383" s="57" t="s">
        <v>596</v>
      </c>
      <c r="B383" s="68" t="s">
        <v>369</v>
      </c>
      <c r="C383" s="40">
        <f>+C384</f>
        <v>4000</v>
      </c>
      <c r="D383" s="63"/>
      <c r="E383" s="154">
        <f t="shared" si="189"/>
        <v>4000</v>
      </c>
      <c r="F383" s="154">
        <f t="shared" si="189"/>
        <v>4160</v>
      </c>
      <c r="G383" s="154" t="e">
        <f t="shared" si="189"/>
        <v>#REF!</v>
      </c>
      <c r="H383" s="154" t="e">
        <f t="shared" si="189"/>
        <v>#REF!</v>
      </c>
      <c r="I383" s="154" t="e">
        <f t="shared" si="189"/>
        <v>#REF!</v>
      </c>
      <c r="J383" s="154" t="e">
        <f t="shared" si="189"/>
        <v>#REF!</v>
      </c>
      <c r="K383" s="154" t="e">
        <f t="shared" si="189"/>
        <v>#REF!</v>
      </c>
      <c r="L383" s="154" t="e">
        <f t="shared" si="189"/>
        <v>#REF!</v>
      </c>
      <c r="M383" s="154" t="e">
        <f t="shared" si="189"/>
        <v>#REF!</v>
      </c>
      <c r="N383" s="154" t="e">
        <f t="shared" si="189"/>
        <v>#REF!</v>
      </c>
    </row>
    <row r="384" spans="1:14" s="61" customFormat="1" ht="12" hidden="1">
      <c r="A384" s="57" t="s">
        <v>597</v>
      </c>
      <c r="B384" s="68" t="s">
        <v>411</v>
      </c>
      <c r="C384" s="40">
        <f>+C385</f>
        <v>4000</v>
      </c>
      <c r="D384" s="63"/>
      <c r="E384" s="154">
        <f t="shared" si="189"/>
        <v>4000</v>
      </c>
      <c r="F384" s="154">
        <f t="shared" si="189"/>
        <v>4160</v>
      </c>
      <c r="G384" s="154" t="e">
        <f t="shared" si="189"/>
        <v>#REF!</v>
      </c>
      <c r="H384" s="154" t="e">
        <f t="shared" si="189"/>
        <v>#REF!</v>
      </c>
      <c r="I384" s="154" t="e">
        <f t="shared" si="189"/>
        <v>#REF!</v>
      </c>
      <c r="J384" s="154" t="e">
        <f t="shared" si="189"/>
        <v>#REF!</v>
      </c>
      <c r="K384" s="154" t="e">
        <f t="shared" si="189"/>
        <v>#REF!</v>
      </c>
      <c r="L384" s="154" t="e">
        <f t="shared" si="189"/>
        <v>#REF!</v>
      </c>
      <c r="M384" s="154" t="e">
        <f t="shared" si="189"/>
        <v>#REF!</v>
      </c>
      <c r="N384" s="154" t="e">
        <f t="shared" si="189"/>
        <v>#REF!</v>
      </c>
    </row>
    <row r="385" spans="1:14" s="61" customFormat="1" ht="15.75" customHeight="1" hidden="1">
      <c r="A385" s="147" t="s">
        <v>598</v>
      </c>
      <c r="B385" s="148" t="s">
        <v>412</v>
      </c>
      <c r="C385" s="149">
        <v>4000</v>
      </c>
      <c r="D385" s="65">
        <v>1.04</v>
      </c>
      <c r="E385" s="162">
        <v>4000</v>
      </c>
      <c r="F385" s="162">
        <f>+C385*D385</f>
        <v>4160</v>
      </c>
      <c r="G385" s="162" t="e">
        <f>+F385*#REF!</f>
        <v>#REF!</v>
      </c>
      <c r="H385" s="162" t="e">
        <f>+G385*#REF!</f>
        <v>#REF!</v>
      </c>
      <c r="I385" s="162" t="e">
        <f>+H385*#REF!</f>
        <v>#REF!</v>
      </c>
      <c r="J385" s="162" t="e">
        <f>+I385*#REF!</f>
        <v>#REF!</v>
      </c>
      <c r="K385" s="162" t="e">
        <f>+J385*#REF!</f>
        <v>#REF!</v>
      </c>
      <c r="L385" s="162" t="e">
        <f>+K385*#REF!</f>
        <v>#REF!</v>
      </c>
      <c r="M385" s="162" t="e">
        <f>+L385*#REF!</f>
        <v>#REF!</v>
      </c>
      <c r="N385" s="162" t="e">
        <f>+M385*#REF!</f>
        <v>#REF!</v>
      </c>
    </row>
    <row r="386" spans="1:14" s="61" customFormat="1" ht="15.75" customHeight="1">
      <c r="A386" s="69" t="s">
        <v>802</v>
      </c>
      <c r="B386" s="58" t="s">
        <v>787</v>
      </c>
      <c r="C386" s="40"/>
      <c r="D386" s="60"/>
      <c r="E386" s="159">
        <v>223356000</v>
      </c>
      <c r="F386" s="154">
        <v>205000000</v>
      </c>
      <c r="G386" s="154">
        <v>205000000</v>
      </c>
      <c r="H386" s="154">
        <v>205000000</v>
      </c>
      <c r="I386" s="154">
        <v>205000000</v>
      </c>
      <c r="J386" s="154">
        <v>0</v>
      </c>
      <c r="K386" s="154">
        <v>0</v>
      </c>
      <c r="L386" s="154">
        <v>0</v>
      </c>
      <c r="M386" s="154">
        <v>0</v>
      </c>
      <c r="N386" s="154">
        <v>0</v>
      </c>
    </row>
    <row r="387" spans="2:14" s="61" customFormat="1" ht="15.75" customHeight="1">
      <c r="B387" s="145"/>
      <c r="C387" s="146"/>
      <c r="D387" s="65"/>
      <c r="E387" s="227"/>
      <c r="F387" s="168"/>
      <c r="G387" s="168"/>
      <c r="H387" s="168"/>
      <c r="I387" s="168"/>
      <c r="J387" s="168"/>
      <c r="K387" s="168"/>
      <c r="L387" s="168"/>
      <c r="M387" s="168"/>
      <c r="N387" s="168"/>
    </row>
    <row r="388" spans="2:227" s="66" customFormat="1" ht="12">
      <c r="B388" s="90" t="s">
        <v>804</v>
      </c>
      <c r="C388" s="91"/>
      <c r="D388" s="91"/>
      <c r="E388" s="163">
        <f>+(E8-E214-E80)-E145-E313-E386</f>
        <v>3191554999.84</v>
      </c>
      <c r="F388" s="163">
        <f aca="true" t="shared" si="190" ref="F388:N388">+(F8-F214-F80)-F145-F313-F386</f>
        <v>3395391599.8336</v>
      </c>
      <c r="G388" s="163">
        <f t="shared" si="190"/>
        <v>3485401389.829439</v>
      </c>
      <c r="H388" s="163">
        <f t="shared" si="190"/>
        <v>3577661424.5751743</v>
      </c>
      <c r="I388" s="163">
        <f t="shared" si="190"/>
        <v>3672227960.1895537</v>
      </c>
      <c r="J388" s="163">
        <f>+(J8-J214-J80)-J145-J313-J386</f>
        <v>3974158659.1942925</v>
      </c>
      <c r="K388" s="163">
        <f t="shared" si="190"/>
        <v>4073512625.6741486</v>
      </c>
      <c r="L388" s="163">
        <f t="shared" si="190"/>
        <v>4175350441.316003</v>
      </c>
      <c r="M388" s="163">
        <f t="shared" si="190"/>
        <v>4279734202.3489027</v>
      </c>
      <c r="N388" s="163">
        <f t="shared" si="190"/>
        <v>4386727557.407625</v>
      </c>
      <c r="HS388" s="92">
        <f>+HS6-HS143</f>
        <v>0</v>
      </c>
    </row>
    <row r="389" s="63" customFormat="1" ht="12">
      <c r="E389" s="164"/>
    </row>
    <row r="390" spans="2:5" s="61" customFormat="1" ht="12">
      <c r="B390" s="88" t="s">
        <v>734</v>
      </c>
      <c r="E390" s="150"/>
    </row>
    <row r="391" spans="11:14" ht="12">
      <c r="K391" s="48"/>
      <c r="L391" s="48"/>
      <c r="M391" s="48"/>
      <c r="N391" s="48"/>
    </row>
    <row r="392" spans="1:14" ht="10.5" customHeight="1">
      <c r="A392" s="379" t="s">
        <v>806</v>
      </c>
      <c r="B392" s="379"/>
      <c r="C392" s="167"/>
      <c r="D392" s="167"/>
      <c r="E392" s="165"/>
      <c r="F392" s="165"/>
      <c r="G392" s="165"/>
      <c r="H392" s="165"/>
      <c r="I392" s="165"/>
      <c r="J392" s="165"/>
      <c r="K392" s="165"/>
      <c r="L392" s="165"/>
      <c r="M392" s="165"/>
      <c r="N392" s="165"/>
    </row>
    <row r="393" spans="1:14" ht="13.5" customHeight="1">
      <c r="A393" s="380" t="s">
        <v>805</v>
      </c>
      <c r="B393" s="380"/>
      <c r="C393" s="167"/>
      <c r="D393" s="167"/>
      <c r="E393" s="165"/>
      <c r="F393" s="169"/>
      <c r="G393" s="274">
        <f>+G6-G143</f>
        <v>-22133768.170562744</v>
      </c>
      <c r="H393" s="273"/>
      <c r="I393" s="170"/>
      <c r="J393" s="170"/>
      <c r="K393" s="170"/>
      <c r="L393" s="170"/>
      <c r="M393" s="170"/>
      <c r="N393" s="170"/>
    </row>
    <row r="394" spans="1:14" ht="12.75">
      <c r="A394" s="185"/>
      <c r="B394" s="166"/>
      <c r="C394" s="167"/>
      <c r="D394" s="167"/>
      <c r="E394" s="165"/>
      <c r="F394" s="169"/>
      <c r="G394" s="376"/>
      <c r="H394" s="377"/>
      <c r="I394" s="170"/>
      <c r="J394" s="170"/>
      <c r="K394" s="170"/>
      <c r="L394" s="170"/>
      <c r="M394" s="170"/>
      <c r="N394" s="170"/>
    </row>
    <row r="395" spans="1:14" ht="12.75">
      <c r="A395" s="185"/>
      <c r="B395" s="171"/>
      <c r="C395" s="167"/>
      <c r="D395" s="167"/>
      <c r="E395" s="165"/>
      <c r="F395" s="172"/>
      <c r="G395" s="172"/>
      <c r="H395" s="172"/>
      <c r="I395" s="173"/>
      <c r="J395" s="173"/>
      <c r="K395" s="173"/>
      <c r="L395" s="173"/>
      <c r="M395" s="173"/>
      <c r="N395" s="173"/>
    </row>
    <row r="396" spans="1:14" ht="12.75" customHeight="1">
      <c r="A396" s="185"/>
      <c r="B396" s="174"/>
      <c r="C396" s="167"/>
      <c r="D396" s="167"/>
      <c r="E396" s="165"/>
      <c r="F396" s="169"/>
      <c r="G396" s="376"/>
      <c r="H396" s="377"/>
      <c r="I396" s="173"/>
      <c r="J396" s="170"/>
      <c r="K396" s="170"/>
      <c r="L396" s="170"/>
      <c r="M396" s="170"/>
      <c r="N396" s="170"/>
    </row>
    <row r="397" spans="1:14" ht="12.75">
      <c r="A397" s="185"/>
      <c r="B397" s="174"/>
      <c r="C397" s="167"/>
      <c r="D397" s="167"/>
      <c r="E397" s="165"/>
      <c r="F397" s="175"/>
      <c r="G397" s="175"/>
      <c r="H397" s="172"/>
      <c r="I397" s="173"/>
      <c r="J397" s="173"/>
      <c r="K397" s="173"/>
      <c r="L397" s="173"/>
      <c r="M397" s="173"/>
      <c r="N397" s="173"/>
    </row>
    <row r="398" spans="1:14" ht="12.75">
      <c r="A398" s="185"/>
      <c r="B398" s="166"/>
      <c r="C398" s="167"/>
      <c r="D398" s="167"/>
      <c r="E398" s="165"/>
      <c r="F398" s="169"/>
      <c r="G398" s="376"/>
      <c r="H398" s="377"/>
      <c r="I398" s="176"/>
      <c r="J398" s="176"/>
      <c r="K398" s="176"/>
      <c r="L398" s="176"/>
      <c r="M398" s="176"/>
      <c r="N398" s="176"/>
    </row>
    <row r="399" spans="1:14" ht="12.75">
      <c r="A399" s="185"/>
      <c r="B399" s="166"/>
      <c r="C399" s="167"/>
      <c r="D399" s="167"/>
      <c r="E399" s="165"/>
      <c r="F399" s="177"/>
      <c r="G399" s="381"/>
      <c r="H399" s="381"/>
      <c r="I399" s="173"/>
      <c r="J399" s="173"/>
      <c r="K399" s="173"/>
      <c r="L399" s="173"/>
      <c r="M399" s="173"/>
      <c r="N399" s="173"/>
    </row>
    <row r="400" spans="1:14" ht="12.75">
      <c r="A400" s="185"/>
      <c r="B400" s="166"/>
      <c r="C400" s="167"/>
      <c r="D400" s="167"/>
      <c r="E400" s="165"/>
      <c r="F400" s="175"/>
      <c r="G400" s="175"/>
      <c r="H400" s="172"/>
      <c r="I400" s="173"/>
      <c r="J400" s="173"/>
      <c r="K400" s="173"/>
      <c r="L400" s="173"/>
      <c r="M400" s="173"/>
      <c r="N400" s="173"/>
    </row>
    <row r="401" spans="1:14" ht="12.75" customHeight="1">
      <c r="A401" s="185"/>
      <c r="B401" s="166"/>
      <c r="C401" s="167"/>
      <c r="D401" s="167"/>
      <c r="E401" s="165"/>
      <c r="F401" s="382"/>
      <c r="G401" s="377"/>
      <c r="H401" s="377"/>
      <c r="I401" s="176"/>
      <c r="J401" s="176"/>
      <c r="K401" s="176"/>
      <c r="L401" s="176"/>
      <c r="M401" s="176"/>
      <c r="N401" s="176"/>
    </row>
    <row r="402" spans="1:14" ht="12.75" customHeight="1">
      <c r="A402" s="185"/>
      <c r="B402" s="166"/>
      <c r="C402" s="167"/>
      <c r="D402" s="167"/>
      <c r="E402" s="165"/>
      <c r="F402" s="172"/>
      <c r="G402" s="172"/>
      <c r="H402" s="172"/>
      <c r="I402" s="178"/>
      <c r="J402" s="178"/>
      <c r="K402" s="178"/>
      <c r="L402" s="178"/>
      <c r="M402" s="178"/>
      <c r="N402" s="178"/>
    </row>
    <row r="403" spans="1:14" ht="12.75">
      <c r="A403" s="185"/>
      <c r="B403" s="166"/>
      <c r="C403" s="167"/>
      <c r="D403" s="167"/>
      <c r="E403" s="165"/>
      <c r="F403" s="172"/>
      <c r="G403" s="172"/>
      <c r="H403" s="172"/>
      <c r="I403" s="178"/>
      <c r="J403" s="172"/>
      <c r="K403" s="172"/>
      <c r="L403" s="172"/>
      <c r="M403" s="172"/>
      <c r="N403" s="172"/>
    </row>
    <row r="404" spans="1:14" ht="12.75">
      <c r="A404" s="185"/>
      <c r="B404" s="166"/>
      <c r="C404" s="167"/>
      <c r="D404" s="167"/>
      <c r="E404" s="165"/>
      <c r="F404" s="179"/>
      <c r="G404" s="383"/>
      <c r="H404" s="383"/>
      <c r="I404" s="180"/>
      <c r="J404" s="180"/>
      <c r="K404" s="180"/>
      <c r="L404" s="180"/>
      <c r="M404" s="180"/>
      <c r="N404" s="180"/>
    </row>
    <row r="405" spans="1:14" ht="12.75">
      <c r="A405" s="185"/>
      <c r="B405" s="166"/>
      <c r="C405" s="167"/>
      <c r="D405" s="167"/>
      <c r="E405" s="165"/>
      <c r="F405" s="181"/>
      <c r="G405" s="384"/>
      <c r="H405" s="384"/>
      <c r="I405" s="182"/>
      <c r="J405" s="183"/>
      <c r="K405" s="183"/>
      <c r="L405" s="183"/>
      <c r="M405" s="183"/>
      <c r="N405" s="183"/>
    </row>
    <row r="406" spans="1:14" ht="12.75">
      <c r="A406" s="185"/>
      <c r="B406" s="166"/>
      <c r="C406" s="167"/>
      <c r="D406" s="167"/>
      <c r="E406" s="165"/>
      <c r="F406" s="181"/>
      <c r="G406" s="384"/>
      <c r="H406" s="384"/>
      <c r="I406" s="183"/>
      <c r="J406" s="183"/>
      <c r="K406" s="183"/>
      <c r="L406" s="183"/>
      <c r="M406" s="183"/>
      <c r="N406" s="183"/>
    </row>
    <row r="407" spans="2:14" ht="12.75">
      <c r="B407" s="166"/>
      <c r="C407" s="167"/>
      <c r="D407" s="167"/>
      <c r="E407" s="165"/>
      <c r="F407" s="184"/>
      <c r="G407" s="384"/>
      <c r="H407" s="384"/>
      <c r="I407" s="183"/>
      <c r="J407" s="183"/>
      <c r="K407" s="183"/>
      <c r="L407" s="183"/>
      <c r="M407" s="183"/>
      <c r="N407" s="183"/>
    </row>
    <row r="408" spans="6:10" ht="12.75">
      <c r="F408" s="144"/>
      <c r="G408" s="141"/>
      <c r="H408" s="142"/>
      <c r="J408" s="48">
        <f>+J404-J401</f>
        <v>0</v>
      </c>
    </row>
    <row r="409" spans="6:10" ht="12.75">
      <c r="F409" s="144"/>
      <c r="G409" s="141"/>
      <c r="H409" s="142"/>
      <c r="J409" s="48">
        <f>+J404-J408</f>
        <v>0</v>
      </c>
    </row>
    <row r="410" spans="6:8" ht="12.75">
      <c r="F410" s="140"/>
      <c r="G410" s="141"/>
      <c r="H410" s="142"/>
    </row>
  </sheetData>
  <sheetProtection/>
  <mergeCells count="14">
    <mergeCell ref="G399:H399"/>
    <mergeCell ref="F401:H401"/>
    <mergeCell ref="G404:H404"/>
    <mergeCell ref="G405:H405"/>
    <mergeCell ref="G406:H406"/>
    <mergeCell ref="G407:H407"/>
    <mergeCell ref="G396:H396"/>
    <mergeCell ref="G398:H398"/>
    <mergeCell ref="A2:G2"/>
    <mergeCell ref="A1:G1"/>
    <mergeCell ref="A3:G3"/>
    <mergeCell ref="A392:B392"/>
    <mergeCell ref="A393:B393"/>
    <mergeCell ref="G394:H394"/>
  </mergeCells>
  <printOptions/>
  <pageMargins left="0.75" right="0.52" top="0.56" bottom="0.47" header="0" footer="0"/>
  <pageSetup horizontalDpi="600" verticalDpi="600" orientation="landscape" scale="95"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1:F142"/>
  <sheetViews>
    <sheetView tabSelected="1" zoomScalePageLayoutView="0" workbookViewId="0" topLeftCell="A1">
      <selection activeCell="F77" sqref="F77"/>
    </sheetView>
  </sheetViews>
  <sheetFormatPr defaultColWidth="11.421875" defaultRowHeight="12.75"/>
  <cols>
    <col min="1" max="1" width="18.7109375" style="4" customWidth="1"/>
    <col min="2" max="2" width="16.8515625" style="4" customWidth="1"/>
    <col min="3" max="3" width="18.421875" style="4" customWidth="1"/>
    <col min="4" max="4" width="23.7109375" style="4" customWidth="1"/>
    <col min="5" max="5" width="22.8515625" style="4" customWidth="1"/>
    <col min="6" max="6" width="24.8515625" style="4" customWidth="1"/>
    <col min="7" max="16384" width="11.421875" style="4" customWidth="1"/>
  </cols>
  <sheetData>
    <row r="1" spans="1:5" ht="15.75">
      <c r="A1" s="409" t="s">
        <v>235</v>
      </c>
      <c r="B1" s="409"/>
      <c r="C1" s="409"/>
      <c r="D1" s="409"/>
      <c r="E1" s="409"/>
    </row>
    <row r="2" spans="1:5" ht="15.75">
      <c r="A2" s="409" t="s">
        <v>234</v>
      </c>
      <c r="B2" s="409"/>
      <c r="C2" s="409"/>
      <c r="D2" s="409"/>
      <c r="E2" s="409"/>
    </row>
    <row r="3" spans="2:5" ht="14.25">
      <c r="B3" s="97"/>
      <c r="C3" s="97"/>
      <c r="D3" s="97"/>
      <c r="E3" s="97"/>
    </row>
    <row r="4" spans="1:5" ht="14.25">
      <c r="A4" s="97"/>
      <c r="B4" s="97"/>
      <c r="C4" s="97"/>
      <c r="D4" s="97"/>
      <c r="E4" s="97"/>
    </row>
    <row r="5" spans="1:5" ht="15">
      <c r="A5" s="410" t="s">
        <v>735</v>
      </c>
      <c r="B5" s="410"/>
      <c r="C5" s="410"/>
      <c r="D5" s="410"/>
      <c r="E5" s="410"/>
    </row>
    <row r="6" spans="1:5" ht="14.25">
      <c r="A6" s="97"/>
      <c r="B6" s="97"/>
      <c r="C6" s="97"/>
      <c r="D6" s="97"/>
      <c r="E6" s="97"/>
    </row>
    <row r="7" spans="1:5" ht="14.25">
      <c r="A7" s="97"/>
      <c r="B7" s="97"/>
      <c r="C7" s="97"/>
      <c r="D7" s="97"/>
      <c r="E7" s="97"/>
    </row>
    <row r="8" spans="1:5" ht="14.25">
      <c r="A8" s="97"/>
      <c r="B8" s="97"/>
      <c r="C8" s="97"/>
      <c r="D8" s="97"/>
      <c r="E8" s="97"/>
    </row>
    <row r="9" spans="1:5" ht="70.5" customHeight="1">
      <c r="A9" s="385" t="s">
        <v>736</v>
      </c>
      <c r="B9" s="385"/>
      <c r="C9" s="385"/>
      <c r="D9" s="385"/>
      <c r="E9" s="385"/>
    </row>
    <row r="10" spans="1:5" ht="14.25">
      <c r="A10" s="97"/>
      <c r="B10" s="97"/>
      <c r="C10" s="97"/>
      <c r="D10" s="97"/>
      <c r="E10" s="97"/>
    </row>
    <row r="11" spans="1:5" ht="30.75" customHeight="1">
      <c r="A11" s="385" t="s">
        <v>737</v>
      </c>
      <c r="B11" s="385"/>
      <c r="C11" s="385"/>
      <c r="D11" s="385"/>
      <c r="E11" s="385"/>
    </row>
    <row r="12" spans="1:5" ht="14.25">
      <c r="A12" s="97"/>
      <c r="B12" s="97"/>
      <c r="C12" s="97"/>
      <c r="D12" s="97"/>
      <c r="E12" s="97"/>
    </row>
    <row r="13" spans="1:5" ht="78" customHeight="1">
      <c r="A13" s="385" t="s">
        <v>777</v>
      </c>
      <c r="B13" s="385"/>
      <c r="C13" s="385"/>
      <c r="D13" s="385"/>
      <c r="E13" s="385"/>
    </row>
    <row r="14" spans="1:5" ht="14.25">
      <c r="A14" s="98"/>
      <c r="B14" s="97"/>
      <c r="C14" s="97"/>
      <c r="D14" s="97"/>
      <c r="E14" s="97"/>
    </row>
    <row r="15" spans="1:5" ht="72" customHeight="1">
      <c r="A15" s="385" t="s">
        <v>778</v>
      </c>
      <c r="B15" s="385"/>
      <c r="C15" s="385"/>
      <c r="D15" s="385"/>
      <c r="E15" s="385"/>
    </row>
    <row r="16" spans="1:5" ht="14.25">
      <c r="A16" s="97"/>
      <c r="B16" s="97"/>
      <c r="C16" s="97"/>
      <c r="D16" s="97"/>
      <c r="E16" s="97"/>
    </row>
    <row r="17" spans="1:5" ht="71.25" customHeight="1">
      <c r="A17" s="385" t="s">
        <v>738</v>
      </c>
      <c r="B17" s="385"/>
      <c r="C17" s="385"/>
      <c r="D17" s="385"/>
      <c r="E17" s="385"/>
    </row>
    <row r="18" spans="1:5" ht="14.25">
      <c r="A18" s="97"/>
      <c r="B18" s="97"/>
      <c r="C18" s="97"/>
      <c r="D18" s="97"/>
      <c r="E18" s="97"/>
    </row>
    <row r="19" spans="1:5" ht="52.5" customHeight="1">
      <c r="A19" s="385" t="s">
        <v>779</v>
      </c>
      <c r="B19" s="385"/>
      <c r="C19" s="385"/>
      <c r="D19" s="385"/>
      <c r="E19" s="385"/>
    </row>
    <row r="20" spans="1:5" ht="14.25">
      <c r="A20" s="97"/>
      <c r="B20" s="97"/>
      <c r="C20" s="97"/>
      <c r="D20" s="97"/>
      <c r="E20" s="97"/>
    </row>
    <row r="21" spans="1:5" ht="58.5" customHeight="1">
      <c r="A21" s="385" t="s">
        <v>780</v>
      </c>
      <c r="B21" s="385"/>
      <c r="C21" s="385"/>
      <c r="D21" s="385"/>
      <c r="E21" s="385"/>
    </row>
    <row r="22" spans="1:5" ht="14.25">
      <c r="A22" s="97"/>
      <c r="B22" s="97"/>
      <c r="C22" s="97"/>
      <c r="D22" s="97"/>
      <c r="E22" s="97"/>
    </row>
    <row r="23" spans="1:5" ht="32.25" customHeight="1">
      <c r="A23" s="385" t="s">
        <v>783</v>
      </c>
      <c r="B23" s="385"/>
      <c r="C23" s="385"/>
      <c r="D23" s="385"/>
      <c r="E23" s="385"/>
    </row>
    <row r="24" spans="1:5" ht="41.25" customHeight="1">
      <c r="A24" s="385" t="s">
        <v>782</v>
      </c>
      <c r="B24" s="385"/>
      <c r="C24" s="385"/>
      <c r="D24" s="385"/>
      <c r="E24" s="385"/>
    </row>
    <row r="25" spans="1:5" ht="14.25">
      <c r="A25" s="97"/>
      <c r="B25" s="97"/>
      <c r="C25" s="97"/>
      <c r="D25" s="97"/>
      <c r="E25" s="97"/>
    </row>
    <row r="26" spans="1:6" ht="36.75" customHeight="1">
      <c r="A26" s="385" t="s">
        <v>781</v>
      </c>
      <c r="B26" s="385"/>
      <c r="C26" s="385"/>
      <c r="D26" s="385"/>
      <c r="E26" s="385"/>
      <c r="F26" s="6"/>
    </row>
    <row r="27" spans="1:5" ht="14.25">
      <c r="A27" s="97"/>
      <c r="B27" s="97"/>
      <c r="C27" s="97"/>
      <c r="D27" s="97"/>
      <c r="E27" s="97"/>
    </row>
    <row r="28" spans="1:5" ht="59.25" customHeight="1">
      <c r="A28" s="407" t="s">
        <v>784</v>
      </c>
      <c r="B28" s="407"/>
      <c r="C28" s="407"/>
      <c r="D28" s="407"/>
      <c r="E28" s="407"/>
    </row>
    <row r="29" spans="1:5" ht="36" customHeight="1">
      <c r="A29" s="385" t="s">
        <v>840</v>
      </c>
      <c r="B29" s="385"/>
      <c r="C29" s="385"/>
      <c r="D29" s="385"/>
      <c r="E29" s="385"/>
    </row>
    <row r="30" spans="1:5" ht="14.25">
      <c r="A30" s="97"/>
      <c r="B30" s="97"/>
      <c r="C30" s="97"/>
      <c r="D30" s="97"/>
      <c r="E30" s="97"/>
    </row>
    <row r="31" spans="1:5" ht="39" customHeight="1">
      <c r="A31" s="385" t="s">
        <v>841</v>
      </c>
      <c r="B31" s="385"/>
      <c r="C31" s="385"/>
      <c r="D31" s="385"/>
      <c r="E31" s="385"/>
    </row>
    <row r="32" spans="1:5" ht="14.25">
      <c r="A32" s="97"/>
      <c r="B32" s="97"/>
      <c r="C32" s="97"/>
      <c r="D32" s="97"/>
      <c r="E32" s="97"/>
    </row>
    <row r="33" spans="1:5" ht="72" customHeight="1">
      <c r="A33" s="385" t="s">
        <v>842</v>
      </c>
      <c r="B33" s="385"/>
      <c r="C33" s="385"/>
      <c r="D33" s="385"/>
      <c r="E33" s="385"/>
    </row>
    <row r="34" spans="1:5" ht="14.25">
      <c r="A34" s="97"/>
      <c r="B34" s="97"/>
      <c r="C34" s="97"/>
      <c r="D34" s="97"/>
      <c r="E34" s="97"/>
    </row>
    <row r="35" spans="1:5" ht="50.25" customHeight="1">
      <c r="A35" s="385" t="s">
        <v>785</v>
      </c>
      <c r="B35" s="386"/>
      <c r="C35" s="386"/>
      <c r="D35" s="386"/>
      <c r="E35" s="386"/>
    </row>
    <row r="36" spans="1:5" ht="14.25">
      <c r="A36" s="97"/>
      <c r="B36" s="97"/>
      <c r="C36" s="97"/>
      <c r="D36" s="97"/>
      <c r="E36" s="97"/>
    </row>
    <row r="37" spans="1:5" ht="14.25">
      <c r="A37" s="97"/>
      <c r="B37" s="97"/>
      <c r="C37" s="97"/>
      <c r="D37" s="97"/>
      <c r="E37" s="97"/>
    </row>
    <row r="38" spans="1:5" ht="15">
      <c r="A38" s="96" t="s">
        <v>739</v>
      </c>
      <c r="B38" s="97"/>
      <c r="C38" s="97"/>
      <c r="D38" s="97"/>
      <c r="E38" s="97"/>
    </row>
    <row r="39" spans="1:5" ht="6" customHeight="1">
      <c r="A39" s="96"/>
      <c r="B39" s="97"/>
      <c r="C39" s="97"/>
      <c r="D39" s="97"/>
      <c r="E39" s="97"/>
    </row>
    <row r="40" spans="1:5" ht="15">
      <c r="A40" s="96" t="s">
        <v>787</v>
      </c>
      <c r="B40" s="97"/>
      <c r="C40" s="97"/>
      <c r="D40" s="97"/>
      <c r="E40" s="97"/>
    </row>
    <row r="41" spans="1:5" ht="59.25" customHeight="1">
      <c r="A41" s="408" t="s">
        <v>786</v>
      </c>
      <c r="B41" s="408"/>
      <c r="C41" s="408"/>
      <c r="D41" s="408"/>
      <c r="E41" s="408"/>
    </row>
    <row r="42" spans="1:5" ht="15">
      <c r="A42" s="96" t="s">
        <v>687</v>
      </c>
      <c r="B42" s="97"/>
      <c r="C42" s="97"/>
      <c r="D42" s="97"/>
      <c r="E42" s="97"/>
    </row>
    <row r="43" spans="1:5" ht="51" customHeight="1">
      <c r="A43" s="385" t="s">
        <v>740</v>
      </c>
      <c r="B43" s="386"/>
      <c r="C43" s="386"/>
      <c r="D43" s="386"/>
      <c r="E43" s="386"/>
    </row>
    <row r="44" spans="1:5" ht="14.25">
      <c r="A44" s="97"/>
      <c r="B44" s="97"/>
      <c r="C44" s="97"/>
      <c r="D44" s="97"/>
      <c r="E44" s="97"/>
    </row>
    <row r="45" spans="1:5" ht="15">
      <c r="A45" s="96" t="s">
        <v>741</v>
      </c>
      <c r="B45" s="97"/>
      <c r="C45" s="97"/>
      <c r="D45" s="97"/>
      <c r="E45" s="97"/>
    </row>
    <row r="46" spans="1:5" ht="14.25">
      <c r="A46" s="97"/>
      <c r="B46" s="97"/>
      <c r="C46" s="97"/>
      <c r="D46" s="97"/>
      <c r="E46" s="97"/>
    </row>
    <row r="47" spans="1:5" ht="103.5" customHeight="1">
      <c r="A47" s="385" t="s">
        <v>801</v>
      </c>
      <c r="B47" s="386"/>
      <c r="C47" s="386"/>
      <c r="D47" s="386"/>
      <c r="E47" s="386"/>
    </row>
    <row r="48" spans="1:5" ht="14.25">
      <c r="A48" s="97"/>
      <c r="B48" s="97"/>
      <c r="C48" s="97"/>
      <c r="D48" s="97"/>
      <c r="E48" s="97"/>
    </row>
    <row r="49" spans="1:5" ht="45.75" customHeight="1">
      <c r="A49" s="397" t="s">
        <v>788</v>
      </c>
      <c r="B49" s="398"/>
      <c r="C49" s="398"/>
      <c r="D49" s="398"/>
      <c r="E49" s="398"/>
    </row>
    <row r="50" spans="1:5" ht="14.25">
      <c r="A50" s="98"/>
      <c r="B50" s="98"/>
      <c r="C50" s="98"/>
      <c r="D50" s="98"/>
      <c r="E50" s="97"/>
    </row>
    <row r="51" spans="1:5" ht="63" customHeight="1">
      <c r="A51" s="397" t="s">
        <v>844</v>
      </c>
      <c r="B51" s="398"/>
      <c r="C51" s="398"/>
      <c r="D51" s="398"/>
      <c r="E51" s="398"/>
    </row>
    <row r="52" spans="1:5" ht="14.25">
      <c r="A52" s="97"/>
      <c r="B52" s="97"/>
      <c r="C52" s="97"/>
      <c r="D52" s="97"/>
      <c r="E52" s="97"/>
    </row>
    <row r="53" spans="1:5" ht="30" customHeight="1">
      <c r="A53" s="397" t="s">
        <v>0</v>
      </c>
      <c r="B53" s="398"/>
      <c r="C53" s="398"/>
      <c r="D53" s="398"/>
      <c r="E53" s="398"/>
    </row>
    <row r="54" spans="1:5" ht="14.25">
      <c r="A54" s="97"/>
      <c r="B54" s="97"/>
      <c r="C54" s="97"/>
      <c r="D54" s="97"/>
      <c r="E54" s="97"/>
    </row>
    <row r="55" spans="1:5" ht="14.25">
      <c r="A55" s="97"/>
      <c r="B55" s="97"/>
      <c r="C55" s="99"/>
      <c r="D55" s="97"/>
      <c r="E55" s="97"/>
    </row>
    <row r="56" spans="1:5" ht="15">
      <c r="A56" s="96" t="s">
        <v>742</v>
      </c>
      <c r="B56" s="97"/>
      <c r="C56" s="97"/>
      <c r="D56" s="97"/>
      <c r="E56" s="97"/>
    </row>
    <row r="57" spans="1:5" ht="14.25">
      <c r="A57" s="97"/>
      <c r="B57" s="97"/>
      <c r="C57" s="97"/>
      <c r="D57" s="97"/>
      <c r="E57" s="97"/>
    </row>
    <row r="58" spans="1:5" ht="32.25" customHeight="1">
      <c r="A58" s="385" t="s">
        <v>743</v>
      </c>
      <c r="B58" s="386"/>
      <c r="C58" s="386"/>
      <c r="D58" s="386"/>
      <c r="E58" s="386"/>
    </row>
    <row r="59" spans="1:5" ht="14.25">
      <c r="A59" s="97"/>
      <c r="B59" s="97"/>
      <c r="C59" s="97"/>
      <c r="D59" s="97"/>
      <c r="E59" s="97"/>
    </row>
    <row r="60" spans="1:5" ht="14.25">
      <c r="A60" s="97"/>
      <c r="B60" s="97"/>
      <c r="C60" s="97"/>
      <c r="D60" s="97"/>
      <c r="E60" s="97"/>
    </row>
    <row r="61" spans="1:5" ht="15">
      <c r="A61" s="96" t="s">
        <v>789</v>
      </c>
      <c r="B61" s="97"/>
      <c r="C61" s="97"/>
      <c r="D61" s="97"/>
      <c r="E61" s="97"/>
    </row>
    <row r="62" spans="1:5" ht="14.25">
      <c r="A62" s="97"/>
      <c r="B62" s="97"/>
      <c r="C62" s="97"/>
      <c r="D62" s="100"/>
      <c r="E62" s="100"/>
    </row>
    <row r="63" spans="1:5" ht="15">
      <c r="A63" s="399" t="s">
        <v>744</v>
      </c>
      <c r="B63" s="401" t="s">
        <v>304</v>
      </c>
      <c r="C63" s="402"/>
      <c r="D63" s="405" t="s">
        <v>745</v>
      </c>
      <c r="E63" s="406"/>
    </row>
    <row r="64" spans="1:5" ht="15">
      <c r="A64" s="400"/>
      <c r="B64" s="403"/>
      <c r="C64" s="404"/>
      <c r="D64" s="123">
        <v>2013</v>
      </c>
      <c r="E64" s="123">
        <v>2014</v>
      </c>
    </row>
    <row r="65" spans="1:5" ht="12.75">
      <c r="A65" s="101"/>
      <c r="B65" s="101"/>
      <c r="C65" s="101"/>
      <c r="D65" s="101"/>
      <c r="E65" s="101"/>
    </row>
    <row r="66" spans="1:5" ht="12.75">
      <c r="A66" s="24" t="s">
        <v>471</v>
      </c>
      <c r="B66" s="388" t="s">
        <v>307</v>
      </c>
      <c r="C66" s="389"/>
      <c r="D66" s="31">
        <f>+D67+D69</f>
        <v>6137315000</v>
      </c>
      <c r="E66" s="31">
        <f>+D66*1.04</f>
        <v>6382807600</v>
      </c>
    </row>
    <row r="67" spans="1:5" ht="12.75">
      <c r="A67" s="24" t="s">
        <v>472</v>
      </c>
      <c r="B67" s="388" t="s">
        <v>746</v>
      </c>
      <c r="C67" s="389"/>
      <c r="D67" s="31">
        <f>780051000+35000000</f>
        <v>815051000</v>
      </c>
      <c r="E67" s="31">
        <f>+D67*1.04</f>
        <v>847653040</v>
      </c>
    </row>
    <row r="68" spans="1:5" ht="12.75">
      <c r="A68" s="101"/>
      <c r="B68" s="101"/>
      <c r="C68" s="101"/>
      <c r="D68" s="102"/>
      <c r="E68" s="102"/>
    </row>
    <row r="69" spans="1:5" ht="12.75">
      <c r="A69" s="24" t="s">
        <v>19</v>
      </c>
      <c r="B69" s="388" t="s">
        <v>331</v>
      </c>
      <c r="C69" s="389"/>
      <c r="D69" s="103">
        <f>5289264000+33000000</f>
        <v>5322264000</v>
      </c>
      <c r="E69" s="31">
        <f>+D69*1.04</f>
        <v>5535154560</v>
      </c>
    </row>
    <row r="70" spans="1:5" ht="12.75">
      <c r="A70" s="99"/>
      <c r="B70" s="99"/>
      <c r="C70" s="101"/>
      <c r="D70" s="102"/>
      <c r="E70" s="102"/>
    </row>
    <row r="71" spans="1:5" ht="12.75">
      <c r="A71" s="24" t="s">
        <v>267</v>
      </c>
      <c r="B71" s="388" t="s">
        <v>739</v>
      </c>
      <c r="C71" s="389"/>
      <c r="D71" s="105">
        <v>747004000</v>
      </c>
      <c r="E71" s="105">
        <v>0</v>
      </c>
    </row>
    <row r="72" spans="1:5" ht="24" customHeight="1">
      <c r="A72" s="51" t="s">
        <v>633</v>
      </c>
      <c r="B72" s="396" t="s">
        <v>634</v>
      </c>
      <c r="C72" s="396"/>
      <c r="D72" s="104">
        <v>14748558000</v>
      </c>
      <c r="E72" s="104">
        <f>+D72*1.04</f>
        <v>15338500320</v>
      </c>
    </row>
    <row r="73" spans="1:5" ht="12.75">
      <c r="A73" s="99"/>
      <c r="B73" s="99"/>
      <c r="C73" s="101"/>
      <c r="D73" s="102"/>
      <c r="E73" s="102"/>
    </row>
    <row r="74" spans="1:6" ht="12.75">
      <c r="A74" s="390" t="s">
        <v>747</v>
      </c>
      <c r="B74" s="389"/>
      <c r="C74" s="389"/>
      <c r="D74" s="105">
        <f>+D66+D71+D72</f>
        <v>21632877000</v>
      </c>
      <c r="E74" s="105">
        <f>+E66+E71+E72</f>
        <v>21721307920</v>
      </c>
      <c r="F74" s="122"/>
    </row>
    <row r="75" spans="1:5" ht="12.75">
      <c r="A75" s="101"/>
      <c r="B75" s="101"/>
      <c r="C75" s="101"/>
      <c r="D75" s="106"/>
      <c r="E75" s="106"/>
    </row>
    <row r="76" spans="1:5" ht="12.75">
      <c r="A76" s="101"/>
      <c r="B76" s="101"/>
      <c r="C76" s="101"/>
      <c r="D76" s="106"/>
      <c r="E76" s="101"/>
    </row>
    <row r="77" spans="1:5" ht="19.5" customHeight="1">
      <c r="A77" s="134" t="s">
        <v>748</v>
      </c>
      <c r="B77" s="392" t="s">
        <v>749</v>
      </c>
      <c r="C77" s="393"/>
      <c r="D77" s="135">
        <f>SUM(D78:D80)</f>
        <v>21597877000</v>
      </c>
      <c r="E77" s="135">
        <f>SUM(E78:E80)</f>
        <v>21684907920</v>
      </c>
    </row>
    <row r="78" spans="1:5" ht="18" customHeight="1">
      <c r="A78" s="136" t="s">
        <v>750</v>
      </c>
      <c r="B78" s="394" t="s">
        <v>751</v>
      </c>
      <c r="C78" s="395"/>
      <c r="D78" s="137">
        <f>1195000000+33000000</f>
        <v>1228000000</v>
      </c>
      <c r="E78" s="138">
        <v>1277120000</v>
      </c>
    </row>
    <row r="79" spans="1:5" ht="18.75" customHeight="1">
      <c r="A79" s="136" t="s">
        <v>752</v>
      </c>
      <c r="B79" s="394" t="s">
        <v>753</v>
      </c>
      <c r="C79" s="395"/>
      <c r="D79" s="138">
        <v>223356000</v>
      </c>
      <c r="E79" s="138">
        <v>205000000</v>
      </c>
    </row>
    <row r="80" spans="1:6" ht="20.25" customHeight="1">
      <c r="A80" s="139" t="s">
        <v>754</v>
      </c>
      <c r="B80" s="394" t="s">
        <v>755</v>
      </c>
      <c r="C80" s="395"/>
      <c r="D80" s="138">
        <f>+D74-D78-D79-35000000</f>
        <v>20146521000</v>
      </c>
      <c r="E80" s="138">
        <v>20202787920</v>
      </c>
      <c r="F80" s="122"/>
    </row>
    <row r="81" spans="1:6" ht="6.75" customHeight="1">
      <c r="A81" s="140"/>
      <c r="B81" s="141"/>
      <c r="C81" s="141"/>
      <c r="D81" s="142"/>
      <c r="E81" s="142"/>
      <c r="F81" s="122"/>
    </row>
    <row r="82" spans="1:6" ht="20.25" customHeight="1">
      <c r="A82" s="390" t="s">
        <v>812</v>
      </c>
      <c r="B82" s="389"/>
      <c r="C82" s="389"/>
      <c r="D82" s="105">
        <f>+D77</f>
        <v>21597877000</v>
      </c>
      <c r="E82" s="105">
        <f>+E77</f>
        <v>21684907920</v>
      </c>
      <c r="F82" s="122"/>
    </row>
    <row r="83" spans="1:6" ht="20.25" customHeight="1">
      <c r="A83" s="143" t="s">
        <v>797</v>
      </c>
      <c r="B83" s="141"/>
      <c r="C83" s="141"/>
      <c r="D83" s="142"/>
      <c r="E83" s="142"/>
      <c r="F83" s="6"/>
    </row>
    <row r="84" spans="1:5" ht="14.25">
      <c r="A84" s="97"/>
      <c r="B84" s="97"/>
      <c r="C84" s="97"/>
      <c r="D84" s="97"/>
      <c r="E84" s="97"/>
    </row>
    <row r="85" spans="1:5" ht="15">
      <c r="A85" s="96" t="s">
        <v>756</v>
      </c>
      <c r="B85" s="97"/>
      <c r="C85" s="97"/>
      <c r="D85" s="97"/>
      <c r="E85" s="97"/>
    </row>
    <row r="86" spans="1:5" ht="14.25">
      <c r="A86" s="97"/>
      <c r="B86" s="97"/>
      <c r="C86" s="97"/>
      <c r="D86" s="97"/>
      <c r="E86" s="97"/>
    </row>
    <row r="87" spans="1:5" ht="47.25" customHeight="1">
      <c r="A87" s="385" t="s">
        <v>757</v>
      </c>
      <c r="B87" s="385"/>
      <c r="C87" s="385"/>
      <c r="D87" s="385"/>
      <c r="E87" s="385"/>
    </row>
    <row r="88" spans="1:5" ht="14.25">
      <c r="A88" s="97"/>
      <c r="B88" s="97"/>
      <c r="C88" s="97"/>
      <c r="D88" s="97"/>
      <c r="E88" s="97"/>
    </row>
    <row r="89" spans="1:5" ht="51.75" customHeight="1">
      <c r="A89" s="385" t="s">
        <v>798</v>
      </c>
      <c r="B89" s="385"/>
      <c r="C89" s="385"/>
      <c r="D89" s="385"/>
      <c r="E89" s="385"/>
    </row>
    <row r="90" spans="1:5" ht="14.25">
      <c r="A90" s="97"/>
      <c r="B90" s="97"/>
      <c r="C90" s="97"/>
      <c r="D90" s="97"/>
      <c r="E90" s="97"/>
    </row>
    <row r="91" spans="1:5" ht="58.5" customHeight="1">
      <c r="A91" s="385" t="s">
        <v>758</v>
      </c>
      <c r="B91" s="385"/>
      <c r="C91" s="385"/>
      <c r="D91" s="385"/>
      <c r="E91" s="385"/>
    </row>
    <row r="92" spans="1:5" ht="14.25">
      <c r="A92" s="97"/>
      <c r="B92" s="97"/>
      <c r="C92" s="97"/>
      <c r="D92" s="97"/>
      <c r="E92" s="97"/>
    </row>
    <row r="93" spans="1:5" ht="31.5" customHeight="1">
      <c r="A93" s="385" t="s">
        <v>759</v>
      </c>
      <c r="B93" s="385"/>
      <c r="C93" s="385"/>
      <c r="D93" s="385"/>
      <c r="E93" s="385"/>
    </row>
    <row r="94" spans="1:5" ht="14.25">
      <c r="A94" s="97"/>
      <c r="B94" s="97"/>
      <c r="C94" s="97"/>
      <c r="D94" s="97"/>
      <c r="E94" s="97"/>
    </row>
    <row r="95" spans="1:5" ht="14.25">
      <c r="A95" s="97"/>
      <c r="B95" s="97"/>
      <c r="C95" s="97"/>
      <c r="D95" s="97"/>
      <c r="E95" s="97"/>
    </row>
    <row r="96" spans="1:5" ht="31.5" customHeight="1">
      <c r="A96" s="391" t="s">
        <v>760</v>
      </c>
      <c r="B96" s="391"/>
      <c r="C96" s="391"/>
      <c r="D96" s="391"/>
      <c r="E96" s="391"/>
    </row>
    <row r="97" spans="1:5" ht="14.25">
      <c r="A97" s="97"/>
      <c r="B97" s="97"/>
      <c r="C97" s="97"/>
      <c r="D97" s="97"/>
      <c r="E97" s="97"/>
    </row>
    <row r="98" spans="1:5" ht="60" customHeight="1">
      <c r="A98" s="385" t="s">
        <v>799</v>
      </c>
      <c r="B98" s="385"/>
      <c r="C98" s="385"/>
      <c r="D98" s="385"/>
      <c r="E98" s="385"/>
    </row>
    <row r="99" spans="1:5" ht="14.25">
      <c r="A99" s="97"/>
      <c r="B99" s="97"/>
      <c r="C99" s="97"/>
      <c r="D99" s="97"/>
      <c r="E99" s="97"/>
    </row>
    <row r="100" spans="1:5" ht="33.75" customHeight="1">
      <c r="A100" s="385" t="s">
        <v>761</v>
      </c>
      <c r="B100" s="385"/>
      <c r="C100" s="385"/>
      <c r="D100" s="385"/>
      <c r="E100" s="385"/>
    </row>
    <row r="101" spans="1:5" ht="14.25">
      <c r="A101" s="97"/>
      <c r="B101" s="97"/>
      <c r="C101" s="97"/>
      <c r="D101" s="97"/>
      <c r="E101" s="97"/>
    </row>
    <row r="102" spans="1:5" ht="62.25" customHeight="1">
      <c r="A102" s="385" t="s">
        <v>800</v>
      </c>
      <c r="B102" s="385"/>
      <c r="C102" s="385"/>
      <c r="D102" s="385"/>
      <c r="E102" s="385"/>
    </row>
    <row r="103" spans="1:5" ht="14.25">
      <c r="A103" s="97"/>
      <c r="B103" s="97"/>
      <c r="C103" s="97"/>
      <c r="D103" s="97"/>
      <c r="E103" s="97"/>
    </row>
    <row r="104" spans="1:5" ht="21" customHeight="1">
      <c r="A104" s="385" t="s">
        <v>762</v>
      </c>
      <c r="B104" s="386"/>
      <c r="C104" s="386"/>
      <c r="D104" s="386"/>
      <c r="E104" s="386"/>
    </row>
    <row r="105" spans="1:5" ht="14.25">
      <c r="A105" s="97"/>
      <c r="B105" s="97"/>
      <c r="C105" s="97"/>
      <c r="D105" s="97"/>
      <c r="E105" s="97"/>
    </row>
    <row r="106" spans="1:5" ht="14.25">
      <c r="A106" s="387" t="s">
        <v>763</v>
      </c>
      <c r="B106" s="387"/>
      <c r="C106" s="387"/>
      <c r="D106" s="387"/>
      <c r="E106" s="387"/>
    </row>
    <row r="107" spans="1:5" ht="14.25">
      <c r="A107" s="97"/>
      <c r="B107" s="97"/>
      <c r="C107" s="97"/>
      <c r="D107" s="97"/>
      <c r="E107" s="97"/>
    </row>
    <row r="108" spans="1:5" ht="14.25">
      <c r="A108" s="97"/>
      <c r="B108" s="97"/>
      <c r="C108" s="97"/>
      <c r="D108" s="97"/>
      <c r="E108" s="97"/>
    </row>
    <row r="109" spans="1:5" ht="15">
      <c r="A109" s="107" t="s">
        <v>795</v>
      </c>
      <c r="B109" s="108"/>
      <c r="C109" s="108"/>
      <c r="D109" s="108"/>
      <c r="E109" s="108"/>
    </row>
    <row r="110" spans="1:5" ht="14.25">
      <c r="A110" s="97"/>
      <c r="B110" s="97"/>
      <c r="C110" s="97"/>
      <c r="D110" s="97"/>
      <c r="E110" s="97"/>
    </row>
    <row r="111" spans="1:5" ht="14.25">
      <c r="A111" s="97"/>
      <c r="B111" s="97"/>
      <c r="C111" s="97"/>
      <c r="D111" s="109"/>
      <c r="E111" s="97"/>
    </row>
    <row r="112" spans="1:5" ht="14.25">
      <c r="A112" s="97" t="s">
        <v>764</v>
      </c>
      <c r="B112" s="97"/>
      <c r="C112" s="97"/>
      <c r="D112" s="110"/>
      <c r="E112" s="111"/>
    </row>
    <row r="113" spans="1:5" ht="14.25">
      <c r="A113" s="97"/>
      <c r="B113" s="97"/>
      <c r="C113" s="97"/>
      <c r="D113" s="97"/>
      <c r="E113" s="97"/>
    </row>
    <row r="114" spans="1:5" ht="33.75" customHeight="1">
      <c r="A114" s="385" t="s">
        <v>792</v>
      </c>
      <c r="B114" s="385"/>
      <c r="C114" s="385"/>
      <c r="D114" s="385"/>
      <c r="E114" s="385"/>
    </row>
    <row r="115" spans="1:5" ht="14.25">
      <c r="A115" s="97"/>
      <c r="B115" s="97"/>
      <c r="C115" s="97"/>
      <c r="D115" s="97"/>
      <c r="E115" s="97"/>
    </row>
    <row r="116" spans="1:6" ht="33" customHeight="1">
      <c r="A116" s="385" t="s">
        <v>796</v>
      </c>
      <c r="B116" s="385"/>
      <c r="C116" s="385"/>
      <c r="D116" s="385"/>
      <c r="E116" s="385"/>
      <c r="F116" s="124"/>
    </row>
    <row r="117" spans="1:5" ht="14.25">
      <c r="A117" s="97"/>
      <c r="B117" s="97"/>
      <c r="C117" s="97"/>
      <c r="D117" s="97"/>
      <c r="E117" s="97"/>
    </row>
    <row r="118" spans="1:5" ht="12.75">
      <c r="A118" s="125"/>
      <c r="B118" s="129" t="s">
        <v>794</v>
      </c>
      <c r="C118" s="125"/>
      <c r="D118" s="125"/>
      <c r="E118" s="125"/>
    </row>
    <row r="119" spans="1:5" ht="24">
      <c r="A119" s="125"/>
      <c r="B119" s="126" t="s">
        <v>765</v>
      </c>
      <c r="C119" s="126" t="s">
        <v>766</v>
      </c>
      <c r="D119" s="127" t="s">
        <v>767</v>
      </c>
      <c r="E119" s="126" t="s">
        <v>768</v>
      </c>
    </row>
    <row r="120" spans="1:5" ht="22.5" customHeight="1">
      <c r="A120" s="76" t="s">
        <v>793</v>
      </c>
      <c r="B120" s="130" t="s">
        <v>791</v>
      </c>
      <c r="C120" s="131">
        <v>20095047057</v>
      </c>
      <c r="D120" s="132" t="s">
        <v>790</v>
      </c>
      <c r="E120" s="133">
        <f>20229572088-20095047057</f>
        <v>134525031</v>
      </c>
    </row>
    <row r="121" spans="1:5" ht="14.25">
      <c r="A121" s="97"/>
      <c r="B121" s="97"/>
      <c r="C121" s="97"/>
      <c r="D121" s="97"/>
      <c r="E121" s="97"/>
    </row>
    <row r="122" spans="1:5" ht="14.25">
      <c r="A122" s="385" t="s">
        <v>769</v>
      </c>
      <c r="B122" s="385"/>
      <c r="C122" s="385"/>
      <c r="D122" s="385"/>
      <c r="E122" s="385"/>
    </row>
    <row r="123" spans="1:5" ht="14.25">
      <c r="A123" s="97"/>
      <c r="B123" s="97"/>
      <c r="C123" s="97"/>
      <c r="D123" s="97"/>
      <c r="E123" s="97"/>
    </row>
    <row r="124" spans="1:5" ht="14.25">
      <c r="A124" s="97"/>
      <c r="B124" s="97"/>
      <c r="C124" s="97"/>
      <c r="D124" s="113"/>
      <c r="E124" s="97"/>
    </row>
    <row r="125" spans="1:5" ht="14.25">
      <c r="A125" s="97" t="s">
        <v>770</v>
      </c>
      <c r="B125" s="97"/>
      <c r="C125" s="97"/>
      <c r="D125" s="97"/>
      <c r="E125" s="97"/>
    </row>
    <row r="126" spans="1:5" ht="14.25">
      <c r="A126" s="97"/>
      <c r="B126" s="97"/>
      <c r="C126" s="97"/>
      <c r="D126" s="97"/>
      <c r="E126" s="97"/>
    </row>
    <row r="127" spans="1:5" s="89" customFormat="1" ht="22.5">
      <c r="A127" s="114" t="s">
        <v>793</v>
      </c>
      <c r="B127" s="128" t="s">
        <v>771</v>
      </c>
      <c r="C127" s="128" t="s">
        <v>766</v>
      </c>
      <c r="D127" s="128" t="s">
        <v>1</v>
      </c>
      <c r="E127" s="128" t="s">
        <v>772</v>
      </c>
    </row>
    <row r="128" spans="1:5" ht="12.75">
      <c r="A128" s="112" t="s">
        <v>751</v>
      </c>
      <c r="B128" s="115">
        <v>1349340441</v>
      </c>
      <c r="C128" s="115">
        <v>1353975062</v>
      </c>
      <c r="D128" s="94">
        <v>1248700446</v>
      </c>
      <c r="E128" s="94">
        <v>1248349790</v>
      </c>
    </row>
    <row r="129" spans="1:5" ht="12.75">
      <c r="A129" s="116" t="s">
        <v>755</v>
      </c>
      <c r="B129" s="94">
        <v>14634511548</v>
      </c>
      <c r="C129" s="115">
        <v>18741071995</v>
      </c>
      <c r="D129" s="115">
        <v>13764581951</v>
      </c>
      <c r="E129" s="115">
        <v>13760781951</v>
      </c>
    </row>
    <row r="130" spans="1:5" ht="12.75">
      <c r="A130" s="116" t="s">
        <v>773</v>
      </c>
      <c r="B130" s="95">
        <v>0</v>
      </c>
      <c r="C130" s="95">
        <v>0</v>
      </c>
      <c r="D130" s="95">
        <v>0</v>
      </c>
      <c r="E130" s="95">
        <v>0</v>
      </c>
    </row>
    <row r="131" spans="1:5" ht="14.25">
      <c r="A131" s="97"/>
      <c r="B131" s="97"/>
      <c r="C131" s="97"/>
      <c r="D131" s="97"/>
      <c r="E131" s="97"/>
    </row>
    <row r="132" spans="1:5" ht="14.25">
      <c r="A132" s="97"/>
      <c r="B132" s="117">
        <f>B128+B129+B130</f>
        <v>15983851989</v>
      </c>
      <c r="C132" s="117">
        <f>C128+C129+C130</f>
        <v>20095047057</v>
      </c>
      <c r="D132" s="117">
        <f>D128+D129+D130</f>
        <v>15013282397</v>
      </c>
      <c r="E132" s="117">
        <f>E128+E129+E130</f>
        <v>15009131741</v>
      </c>
    </row>
    <row r="133" spans="1:5" ht="14.25">
      <c r="A133" s="97"/>
      <c r="B133" s="118"/>
      <c r="C133" s="119"/>
      <c r="D133" s="118"/>
      <c r="E133" s="118"/>
    </row>
    <row r="134" spans="1:5" ht="14.25">
      <c r="A134" s="97"/>
      <c r="B134" s="97"/>
      <c r="C134" s="97"/>
      <c r="D134" s="97"/>
      <c r="E134" s="97"/>
    </row>
    <row r="135" spans="1:5" ht="14.25">
      <c r="A135" s="97" t="s">
        <v>774</v>
      </c>
      <c r="B135" s="100"/>
      <c r="C135" s="100"/>
      <c r="D135" s="120"/>
      <c r="E135" s="97"/>
    </row>
    <row r="136" spans="1:5" ht="14.25">
      <c r="A136" s="97" t="s">
        <v>775</v>
      </c>
      <c r="B136" s="97"/>
      <c r="C136" s="97"/>
      <c r="D136" s="121"/>
      <c r="E136" s="97"/>
    </row>
    <row r="137" spans="1:5" ht="14.25">
      <c r="A137" s="97"/>
      <c r="B137" s="97"/>
      <c r="C137" s="97"/>
      <c r="D137" s="121"/>
      <c r="E137" s="97"/>
    </row>
    <row r="138" spans="1:5" ht="14.25">
      <c r="A138" s="108"/>
      <c r="B138" s="108"/>
      <c r="C138" s="108"/>
      <c r="D138" s="108"/>
      <c r="E138" s="108"/>
    </row>
    <row r="139" spans="1:5" ht="56.25" customHeight="1">
      <c r="A139" s="385" t="s">
        <v>776</v>
      </c>
      <c r="B139" s="385"/>
      <c r="C139" s="385"/>
      <c r="D139" s="385"/>
      <c r="E139" s="385"/>
    </row>
    <row r="140" spans="1:5" ht="14.25">
      <c r="A140" s="93"/>
      <c r="B140" s="93"/>
      <c r="C140" s="93"/>
      <c r="D140" s="93"/>
      <c r="E140" s="93"/>
    </row>
    <row r="141" spans="1:5" ht="14.25">
      <c r="A141" s="93"/>
      <c r="B141" s="93"/>
      <c r="C141" s="93"/>
      <c r="D141" s="93"/>
      <c r="E141" s="93"/>
    </row>
    <row r="142" spans="1:5" ht="14.25">
      <c r="A142" s="93"/>
      <c r="B142" s="93"/>
      <c r="C142" s="93"/>
      <c r="D142" s="93"/>
      <c r="E142" s="93"/>
    </row>
  </sheetData>
  <sheetProtection/>
  <mergeCells count="53">
    <mergeCell ref="A2:E2"/>
    <mergeCell ref="A1:E1"/>
    <mergeCell ref="A5:E5"/>
    <mergeCell ref="A9:E9"/>
    <mergeCell ref="A11:E11"/>
    <mergeCell ref="A13:E13"/>
    <mergeCell ref="A21:E21"/>
    <mergeCell ref="A24:E24"/>
    <mergeCell ref="A15:E15"/>
    <mergeCell ref="A17:E17"/>
    <mergeCell ref="A19:E19"/>
    <mergeCell ref="A26:E26"/>
    <mergeCell ref="A23:E23"/>
    <mergeCell ref="A47:E47"/>
    <mergeCell ref="A28:E28"/>
    <mergeCell ref="A49:E49"/>
    <mergeCell ref="A51:E51"/>
    <mergeCell ref="A29:E29"/>
    <mergeCell ref="A31:E31"/>
    <mergeCell ref="A33:E33"/>
    <mergeCell ref="A35:E35"/>
    <mergeCell ref="A43:E43"/>
    <mergeCell ref="A41:E41"/>
    <mergeCell ref="A53:E53"/>
    <mergeCell ref="B67:C67"/>
    <mergeCell ref="B69:C69"/>
    <mergeCell ref="A58:E58"/>
    <mergeCell ref="A63:A64"/>
    <mergeCell ref="B63:C64"/>
    <mergeCell ref="D63:E63"/>
    <mergeCell ref="B66:C66"/>
    <mergeCell ref="B71:C71"/>
    <mergeCell ref="A74:C74"/>
    <mergeCell ref="A96:E96"/>
    <mergeCell ref="A98:E98"/>
    <mergeCell ref="B77:C77"/>
    <mergeCell ref="B78:C78"/>
    <mergeCell ref="B79:C79"/>
    <mergeCell ref="B80:C80"/>
    <mergeCell ref="B72:C72"/>
    <mergeCell ref="A82:C82"/>
    <mergeCell ref="A102:E102"/>
    <mergeCell ref="A87:E87"/>
    <mergeCell ref="A89:E89"/>
    <mergeCell ref="A91:E91"/>
    <mergeCell ref="A93:E93"/>
    <mergeCell ref="A100:E100"/>
    <mergeCell ref="A122:E122"/>
    <mergeCell ref="A139:E139"/>
    <mergeCell ref="A104:E104"/>
    <mergeCell ref="A106:E106"/>
    <mergeCell ref="A114:E114"/>
    <mergeCell ref="A116:E116"/>
  </mergeCells>
  <printOptions/>
  <pageMargins left="0.9448818897637796" right="0.35433070866141736" top="0.7874015748031497" bottom="0.7874015748031497" header="0" footer="0.42"/>
  <pageSetup horizontalDpi="600" verticalDpi="600" orientation="portrait" scale="90" r:id="rId1"/>
  <headerFooter alignWithMargins="0">
    <oddFooter>&amp;C&amp;Pde&amp;N</oddFooter>
  </headerFooter>
</worksheet>
</file>

<file path=xl/worksheets/sheet9.xml><?xml version="1.0" encoding="utf-8"?>
<worksheet xmlns="http://schemas.openxmlformats.org/spreadsheetml/2006/main" xmlns:r="http://schemas.openxmlformats.org/officeDocument/2006/relationships">
  <dimension ref="A1:E47"/>
  <sheetViews>
    <sheetView zoomScalePageLayoutView="0" workbookViewId="0" topLeftCell="B4">
      <selection activeCell="G62" sqref="G62:G63"/>
    </sheetView>
  </sheetViews>
  <sheetFormatPr defaultColWidth="11.421875" defaultRowHeight="12.75"/>
  <cols>
    <col min="1" max="1" width="17.57421875" style="0" customWidth="1"/>
    <col min="2" max="2" width="41.00390625" style="0" customWidth="1"/>
    <col min="3" max="3" width="20.7109375" style="0" customWidth="1"/>
    <col min="4" max="4" width="21.57421875" style="0" customWidth="1"/>
    <col min="5" max="5" width="8.00390625" style="0" customWidth="1"/>
  </cols>
  <sheetData>
    <row r="1" spans="1:5" ht="15.75">
      <c r="A1" s="415" t="s">
        <v>235</v>
      </c>
      <c r="B1" s="416"/>
      <c r="C1" s="416"/>
      <c r="D1" s="416"/>
      <c r="E1" s="417"/>
    </row>
    <row r="2" spans="1:5" ht="15.75">
      <c r="A2" s="347" t="s">
        <v>234</v>
      </c>
      <c r="B2" s="348"/>
      <c r="C2" s="348"/>
      <c r="D2" s="348"/>
      <c r="E2" s="349"/>
    </row>
    <row r="3" spans="1:5" ht="15.75">
      <c r="A3" s="189"/>
      <c r="B3" s="187"/>
      <c r="C3" s="187"/>
      <c r="D3" s="188"/>
      <c r="E3" s="190"/>
    </row>
    <row r="4" spans="1:5" ht="15.75">
      <c r="A4" s="418" t="s">
        <v>699</v>
      </c>
      <c r="B4" s="419"/>
      <c r="C4" s="419"/>
      <c r="D4" s="419"/>
      <c r="E4" s="420"/>
    </row>
    <row r="5" spans="1:5" ht="16.5" thickBot="1">
      <c r="A5" s="191"/>
      <c r="B5" s="192"/>
      <c r="C5" s="192"/>
      <c r="D5" s="193"/>
      <c r="E5" s="194"/>
    </row>
    <row r="6" spans="1:5" ht="15.75">
      <c r="A6" s="207"/>
      <c r="B6" s="207"/>
      <c r="C6" s="207"/>
      <c r="D6" s="226" t="s">
        <v>810</v>
      </c>
      <c r="E6" s="208"/>
    </row>
    <row r="7" spans="1:5" ht="15.75">
      <c r="A7" s="421" t="s">
        <v>808</v>
      </c>
      <c r="B7" s="422"/>
      <c r="C7" s="423"/>
      <c r="D7" s="209">
        <f>D9+D17+D19+D21+D23+D25+D29+D27+D44</f>
        <v>21597877000</v>
      </c>
      <c r="E7" s="210">
        <f>SUM(E9:E44)</f>
        <v>1</v>
      </c>
    </row>
    <row r="8" spans="1:5" ht="12.75">
      <c r="A8" s="80"/>
      <c r="B8" s="80"/>
      <c r="C8" s="80"/>
      <c r="D8" s="21"/>
      <c r="E8" s="80"/>
    </row>
    <row r="9" spans="1:5" ht="15.75">
      <c r="A9" s="195" t="s">
        <v>700</v>
      </c>
      <c r="B9" s="196"/>
      <c r="C9" s="197"/>
      <c r="D9" s="209">
        <f>SUM(C11:C15)</f>
        <v>10741750000</v>
      </c>
      <c r="E9" s="211">
        <f>D9/D7</f>
        <v>0.4973521240073735</v>
      </c>
    </row>
    <row r="10" spans="1:5" ht="12.75">
      <c r="A10" s="80"/>
      <c r="B10" s="80"/>
      <c r="C10" s="80"/>
      <c r="D10" s="21"/>
      <c r="E10" s="80"/>
    </row>
    <row r="11" spans="1:5" ht="12.75">
      <c r="A11" s="424" t="s">
        <v>701</v>
      </c>
      <c r="B11" s="425"/>
      <c r="C11" s="223">
        <v>1163000000</v>
      </c>
      <c r="D11" s="82"/>
      <c r="E11" s="80"/>
    </row>
    <row r="12" spans="1:5" ht="12.75">
      <c r="A12" s="411" t="s">
        <v>702</v>
      </c>
      <c r="B12" s="412"/>
      <c r="C12" s="224">
        <v>6630000000</v>
      </c>
      <c r="D12" s="82"/>
      <c r="E12" s="80"/>
    </row>
    <row r="13" spans="1:5" ht="12.75">
      <c r="A13" s="411" t="s">
        <v>703</v>
      </c>
      <c r="B13" s="412"/>
      <c r="C13" s="224">
        <v>1420000000</v>
      </c>
      <c r="D13" s="82"/>
      <c r="E13" s="80"/>
    </row>
    <row r="14" spans="1:5" ht="12.75">
      <c r="A14" s="411" t="s">
        <v>704</v>
      </c>
      <c r="B14" s="412"/>
      <c r="C14" s="224">
        <v>1288500000</v>
      </c>
      <c r="D14" s="21"/>
      <c r="E14" s="80"/>
    </row>
    <row r="15" spans="1:5" ht="12.75">
      <c r="A15" s="413" t="s">
        <v>705</v>
      </c>
      <c r="B15" s="414"/>
      <c r="C15" s="225">
        <v>240250000</v>
      </c>
      <c r="D15" s="82"/>
      <c r="E15" s="80"/>
    </row>
    <row r="16" spans="1:5" ht="12.75">
      <c r="A16" s="80"/>
      <c r="B16" s="80"/>
      <c r="C16" s="84"/>
      <c r="D16" s="21"/>
      <c r="E16" s="80"/>
    </row>
    <row r="17" spans="1:5" ht="15.75">
      <c r="A17" s="195" t="s">
        <v>706</v>
      </c>
      <c r="B17" s="196"/>
      <c r="C17" s="197"/>
      <c r="D17" s="212">
        <v>7419000000</v>
      </c>
      <c r="E17" s="217">
        <f>D17/D7</f>
        <v>0.34350598440763414</v>
      </c>
    </row>
    <row r="18" spans="1:5" ht="12.75">
      <c r="A18" s="187"/>
      <c r="B18" s="187"/>
      <c r="C18" s="187"/>
      <c r="D18" s="21"/>
      <c r="E18" s="80"/>
    </row>
    <row r="19" spans="1:5" ht="15.75">
      <c r="A19" s="195" t="s">
        <v>707</v>
      </c>
      <c r="B19" s="196"/>
      <c r="C19" s="197"/>
      <c r="D19" s="212">
        <f>902000000+150000000+381000000+76000000+5000000+5000+5501000+20450000+25002000+5005000+10000000+21602000+0</f>
        <v>1601565000</v>
      </c>
      <c r="E19" s="211">
        <f>D19/D7</f>
        <v>0.07415381613665084</v>
      </c>
    </row>
    <row r="20" spans="1:5" ht="12.75">
      <c r="A20" s="80"/>
      <c r="B20" s="80"/>
      <c r="C20" s="80"/>
      <c r="D20" s="21"/>
      <c r="E20" s="80"/>
    </row>
    <row r="21" spans="1:5" ht="15.75">
      <c r="A21" s="195" t="s">
        <v>708</v>
      </c>
      <c r="B21" s="196"/>
      <c r="C21" s="197"/>
      <c r="D21" s="212">
        <v>70000000</v>
      </c>
      <c r="E21" s="217">
        <f>D21/D7</f>
        <v>0.0032410592948556934</v>
      </c>
    </row>
    <row r="22" spans="1:5" ht="12.75">
      <c r="A22" s="80"/>
      <c r="B22" s="80"/>
      <c r="C22" s="80"/>
      <c r="D22" s="21"/>
      <c r="E22" s="80"/>
    </row>
    <row r="23" spans="1:5" ht="15.75">
      <c r="A23" s="195" t="s">
        <v>709</v>
      </c>
      <c r="B23" s="196"/>
      <c r="C23" s="197"/>
      <c r="D23" s="209">
        <v>629558000</v>
      </c>
      <c r="E23" s="216">
        <f>D23/D7</f>
        <v>0.02914906867929658</v>
      </c>
    </row>
    <row r="24" spans="1:5" ht="12.75">
      <c r="A24" s="80"/>
      <c r="B24" s="80"/>
      <c r="C24" s="80"/>
      <c r="D24" s="21"/>
      <c r="E24" s="80"/>
    </row>
    <row r="25" spans="1:5" ht="15.75">
      <c r="A25" s="195" t="s">
        <v>710</v>
      </c>
      <c r="B25" s="196"/>
      <c r="C25" s="197"/>
      <c r="D25" s="212">
        <v>2000</v>
      </c>
      <c r="E25" s="215">
        <f>D25/D7</f>
        <v>9.26016941387341E-08</v>
      </c>
    </row>
    <row r="26" spans="1:5" ht="12.75">
      <c r="A26" s="80"/>
      <c r="B26" s="80"/>
      <c r="C26" s="80"/>
      <c r="D26" s="21"/>
      <c r="E26" s="80"/>
    </row>
    <row r="27" spans="1:5" ht="15.75">
      <c r="A27" s="195" t="s">
        <v>717</v>
      </c>
      <c r="B27" s="196"/>
      <c r="C27" s="197"/>
      <c r="D27" s="212">
        <v>47000000</v>
      </c>
      <c r="E27" s="214">
        <f>D27/D7</f>
        <v>0.0021761398122602514</v>
      </c>
    </row>
    <row r="28" spans="1:5" ht="12.75">
      <c r="A28" s="80"/>
      <c r="B28" s="80"/>
      <c r="C28" s="80"/>
      <c r="D28" s="21"/>
      <c r="E28" s="80"/>
    </row>
    <row r="29" spans="1:5" ht="15.75">
      <c r="A29" s="195" t="s">
        <v>720</v>
      </c>
      <c r="B29" s="196"/>
      <c r="C29" s="197"/>
      <c r="D29" s="213">
        <f>SUM(C31:C42)</f>
        <v>389002000</v>
      </c>
      <c r="E29" s="214">
        <f>D29/D7</f>
        <v>0.01801112211167792</v>
      </c>
    </row>
    <row r="30" spans="1:5" ht="15.75">
      <c r="A30" s="200"/>
      <c r="B30" s="200"/>
      <c r="C30" s="200"/>
      <c r="D30" s="79"/>
      <c r="E30" s="87"/>
    </row>
    <row r="31" spans="1:5" ht="12.75">
      <c r="A31" s="201" t="s">
        <v>721</v>
      </c>
      <c r="B31" s="202"/>
      <c r="C31" s="218">
        <v>1000</v>
      </c>
      <c r="D31" s="80"/>
      <c r="E31" s="80"/>
    </row>
    <row r="32" spans="1:5" ht="12.75">
      <c r="A32" s="203" t="s">
        <v>722</v>
      </c>
      <c r="B32" s="187"/>
      <c r="C32" s="219">
        <v>20000000</v>
      </c>
      <c r="D32" s="80"/>
      <c r="E32" s="80"/>
    </row>
    <row r="33" spans="1:5" ht="12.75">
      <c r="A33" s="203" t="s">
        <v>723</v>
      </c>
      <c r="B33" s="187"/>
      <c r="C33" s="220">
        <v>20000000</v>
      </c>
      <c r="D33" s="80"/>
      <c r="E33" s="80"/>
    </row>
    <row r="34" spans="1:5" ht="12.75">
      <c r="A34" s="203" t="s">
        <v>724</v>
      </c>
      <c r="B34" s="187"/>
      <c r="C34" s="220">
        <v>17000000</v>
      </c>
      <c r="D34" s="80"/>
      <c r="E34" s="80"/>
    </row>
    <row r="35" spans="1:5" ht="12.75">
      <c r="A35" s="203" t="s">
        <v>725</v>
      </c>
      <c r="B35" s="187"/>
      <c r="C35" s="220">
        <v>9000000</v>
      </c>
      <c r="D35" s="80"/>
      <c r="E35" s="80"/>
    </row>
    <row r="36" spans="1:5" ht="12.75">
      <c r="A36" s="203" t="s">
        <v>726</v>
      </c>
      <c r="B36" s="187"/>
      <c r="C36" s="220">
        <v>6000000</v>
      </c>
      <c r="D36" s="80"/>
      <c r="E36" s="80"/>
    </row>
    <row r="37" spans="1:5" ht="12.75">
      <c r="A37" s="203" t="s">
        <v>727</v>
      </c>
      <c r="B37" s="187"/>
      <c r="C37" s="220">
        <f>138000000+33000000</f>
        <v>171000000</v>
      </c>
      <c r="D37" s="80"/>
      <c r="E37" s="80"/>
    </row>
    <row r="38" spans="1:5" ht="12.75">
      <c r="A38" s="203" t="s">
        <v>728</v>
      </c>
      <c r="B38" s="187"/>
      <c r="C38" s="219">
        <v>30000000</v>
      </c>
      <c r="D38" s="80"/>
      <c r="E38" s="80"/>
    </row>
    <row r="39" spans="1:5" ht="12.75">
      <c r="A39" s="203" t="s">
        <v>729</v>
      </c>
      <c r="B39" s="187"/>
      <c r="C39" s="219">
        <v>17000000</v>
      </c>
      <c r="D39" s="80"/>
      <c r="E39" s="80"/>
    </row>
    <row r="40" spans="1:5" ht="12.75">
      <c r="A40" s="203" t="s">
        <v>730</v>
      </c>
      <c r="B40" s="187"/>
      <c r="C40" s="221">
        <v>1000</v>
      </c>
      <c r="D40" s="80"/>
      <c r="E40" s="21"/>
    </row>
    <row r="41" spans="1:5" ht="12.75">
      <c r="A41" s="204" t="s">
        <v>731</v>
      </c>
      <c r="B41" s="187"/>
      <c r="C41" s="221">
        <v>58000000</v>
      </c>
      <c r="D41" s="21"/>
      <c r="E41" s="80"/>
    </row>
    <row r="42" spans="1:5" ht="12.75">
      <c r="A42" s="198" t="s">
        <v>732</v>
      </c>
      <c r="B42" s="199"/>
      <c r="C42" s="222">
        <v>41000000</v>
      </c>
      <c r="D42" s="21"/>
      <c r="E42" s="80"/>
    </row>
    <row r="43" spans="1:5" ht="12.75">
      <c r="A43" s="80"/>
      <c r="B43" s="80"/>
      <c r="C43" s="80"/>
      <c r="D43" s="21"/>
      <c r="E43" s="80"/>
    </row>
    <row r="44" spans="1:5" ht="15.75">
      <c r="A44" s="195" t="s">
        <v>807</v>
      </c>
      <c r="B44" s="205"/>
      <c r="C44" s="206"/>
      <c r="D44" s="212">
        <v>700000000</v>
      </c>
      <c r="E44" s="214">
        <f>D44/D7</f>
        <v>0.032410592948556936</v>
      </c>
    </row>
    <row r="45" spans="1:5" ht="12.75">
      <c r="A45" s="80"/>
      <c r="B45" s="80"/>
      <c r="C45" s="80"/>
      <c r="D45" s="21"/>
      <c r="E45" s="80"/>
    </row>
    <row r="46" spans="1:5" ht="12.75">
      <c r="A46" s="186" t="s">
        <v>806</v>
      </c>
      <c r="B46" s="80"/>
      <c r="C46" s="80"/>
      <c r="D46" s="21"/>
      <c r="E46" s="80"/>
    </row>
    <row r="47" spans="1:5" ht="12.75">
      <c r="A47" s="186" t="s">
        <v>809</v>
      </c>
      <c r="B47" s="80"/>
      <c r="C47" s="80"/>
      <c r="D47" s="21"/>
      <c r="E47" s="80"/>
    </row>
  </sheetData>
  <sheetProtection/>
  <mergeCells count="9">
    <mergeCell ref="A13:B13"/>
    <mergeCell ref="A14:B14"/>
    <mergeCell ref="A15:B15"/>
    <mergeCell ref="A1:E1"/>
    <mergeCell ref="A2:E2"/>
    <mergeCell ref="A4:E4"/>
    <mergeCell ref="A7:C7"/>
    <mergeCell ref="A11:B11"/>
    <mergeCell ref="A12: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Contaduria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jrodriguez</dc:creator>
  <cp:keywords/>
  <dc:description/>
  <cp:lastModifiedBy>Jose Hebert Riascos Riascos</cp:lastModifiedBy>
  <cp:lastPrinted>2012-10-31T13:04:55Z</cp:lastPrinted>
  <dcterms:created xsi:type="dcterms:W3CDTF">2008-02-28T15:12:41Z</dcterms:created>
  <dcterms:modified xsi:type="dcterms:W3CDTF">2013-04-24T20:14:04Z</dcterms:modified>
  <cp:category/>
  <cp:version/>
  <cp:contentType/>
  <cp:contentStatus/>
</cp:coreProperties>
</file>