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9480" windowHeight="3450" activeTab="0"/>
  </bookViews>
  <sheets>
    <sheet name="PLAN PLURIANUAL INV." sheetId="1" r:id="rId1"/>
    <sheet name="PRESTO. INGRESOS" sheetId="2" r:id="rId2"/>
    <sheet name="PRESPTO. GASTOS" sheetId="3" r:id="rId3"/>
    <sheet name="DIMENSIONES" sheetId="4" r:id="rId4"/>
  </sheets>
  <definedNames>
    <definedName name="_xlnm._FilterDatabase" localSheetId="0" hidden="1">'PLAN PLURIANUAL INV.'!$A$3:$R$423</definedName>
    <definedName name="_xlnm.Print_Area" localSheetId="3">'DIMENSIONES'!$A$1:$H$18</definedName>
    <definedName name="_xlnm.Print_Area" localSheetId="2">'PRESPTO. GASTOS'!$A$1:$I$32</definedName>
    <definedName name="_xlnm.Print_Area" localSheetId="1">'PRESTO. INGRESOS'!$A$1:$K$50</definedName>
  </definedNames>
  <calcPr fullCalcOnLoad="1"/>
</workbook>
</file>

<file path=xl/comments1.xml><?xml version="1.0" encoding="utf-8"?>
<comments xmlns="http://schemas.openxmlformats.org/spreadsheetml/2006/main">
  <authors>
    <author>Marcela Plazas</author>
    <author>Luffi</author>
    <author>carnicopas</author>
  </authors>
  <commentList>
    <comment ref="B19" authorId="0">
      <text>
        <r>
          <rPr>
            <b/>
            <sz val="9"/>
            <rFont val="Tahoma"/>
            <family val="2"/>
          </rPr>
          <t>Marcela Plazas:</t>
        </r>
        <r>
          <rPr>
            <sz val="9"/>
            <rFont val="Tahoma"/>
            <family val="2"/>
          </rPr>
          <t xml:space="preserve">
INFANCIA Y ADOLESCENCIA</t>
        </r>
      </text>
    </comment>
    <comment ref="C119" authorId="1">
      <text>
        <r>
          <rPr>
            <b/>
            <sz val="9"/>
            <rFont val="Tahoma"/>
            <family val="2"/>
          </rPr>
          <t>estampilla procultura</t>
        </r>
      </text>
    </comment>
    <comment ref="C147" authorId="1">
      <text>
        <r>
          <rPr>
            <b/>
            <sz val="12"/>
            <rFont val="Tahoma"/>
            <family val="2"/>
          </rPr>
          <t>estampilla pro cultura</t>
        </r>
      </text>
    </comment>
    <comment ref="B199" authorId="0">
      <text>
        <r>
          <rPr>
            <b/>
            <sz val="9"/>
            <rFont val="Tahoma"/>
            <family val="2"/>
          </rPr>
          <t>Marcela Plazas:</t>
        </r>
        <r>
          <rPr>
            <sz val="9"/>
            <rFont val="Tahoma"/>
            <family val="2"/>
          </rPr>
          <t xml:space="preserve">
Proyecto regional</t>
        </r>
      </text>
    </comment>
    <comment ref="B200" authorId="2">
      <text>
        <r>
          <rPr>
            <b/>
            <sz val="9"/>
            <rFont val="Tahoma"/>
            <family val="2"/>
          </rPr>
          <t>carnicopas:</t>
        </r>
        <r>
          <rPr>
            <sz val="9"/>
            <rFont val="Tahoma"/>
            <family val="2"/>
          </rPr>
          <t xml:space="preserve">
SE TRASLADO DEL SUBPROGRAMA 9.2</t>
        </r>
      </text>
    </comment>
    <comment ref="C228" authorId="1">
      <text>
        <r>
          <rPr>
            <b/>
            <sz val="12"/>
            <rFont val="Tahoma"/>
            <family val="2"/>
          </rPr>
          <t>cultura</t>
        </r>
      </text>
    </comment>
    <comment ref="C237" authorId="1">
      <text>
        <r>
          <rPr>
            <b/>
            <sz val="14"/>
            <rFont val="Tahoma"/>
            <family val="2"/>
          </rPr>
          <t>cultura</t>
        </r>
      </text>
    </comment>
  </commentList>
</comments>
</file>

<file path=xl/sharedStrings.xml><?xml version="1.0" encoding="utf-8"?>
<sst xmlns="http://schemas.openxmlformats.org/spreadsheetml/2006/main" count="867" uniqueCount="506">
  <si>
    <t>SECTOR DE COMPETENCIA</t>
  </si>
  <si>
    <t>Recursos Propios</t>
  </si>
  <si>
    <t>SGP</t>
  </si>
  <si>
    <t>Regalias</t>
  </si>
  <si>
    <t>Otros</t>
  </si>
  <si>
    <t>META DE RESULTADO:</t>
  </si>
  <si>
    <t>Definir e implementar un programa de capacitación docente en nuevas pedagogías, Metodología de la Investigación y en  Tecnologías de la Información y la Comunicación (TIC)</t>
  </si>
  <si>
    <t>Definir e implementar una (1) política pública municipal de lectura en  el primer año de gobierno</t>
  </si>
  <si>
    <t>MATRIZ  PLAN PLURIANUAL DE INVERSIONES</t>
  </si>
  <si>
    <t>Desarrollar e implementar (1) un programa de educación no formal</t>
  </si>
  <si>
    <t>Desarrollar e implementar (1) un programa de promoción de acceso a educación de formación media, técnica, tecnológica y universitaria.</t>
  </si>
  <si>
    <t>Fortalecer el 100% de las escuelas de formación de padres en los colegios oficiales del municipio. Y articularlas con pautas de crianza,  cuidado y promoción para  el adecuado desarrollo  afectivo,  físico, mental  y social de los niños, niñas y adolescentes.</t>
  </si>
  <si>
    <t>Ofrecer 50 nuevos cupos para jóvenes y adultos que están fuera del ciclo escolar, y mantener a los que ya se incluyeron.</t>
  </si>
  <si>
    <t>Construir (1) Hogar geriátrico de atención al adulto mayor</t>
  </si>
  <si>
    <t>Definir e implementar (1) programa integral de atención al adulto mayor</t>
  </si>
  <si>
    <t>Ejecutar el 100% de las actividades planteadas en el plan operativo anual en salud</t>
  </si>
  <si>
    <t>Desarrollar e implementar (1) programa de Atención en Salud Mental y de trastornos mentales en el casco Urbano y Rural, para toda la población durante los cuatro años.</t>
  </si>
  <si>
    <t>Desarrollar e implementar (1)  programa de Promoción de Hábitos y Estilo de Vida Saludable en el casco urbano y rural durante los cuatro años a toda la población, en cordinación con Recreación y Deporte</t>
  </si>
  <si>
    <t>INGRESOS</t>
  </si>
  <si>
    <t>INGRESOS TRIBUTARIOS</t>
  </si>
  <si>
    <t>Avisos y tableros</t>
  </si>
  <si>
    <t>Sobretasa a la gasolina</t>
  </si>
  <si>
    <t>INGRESOS NO TRIBUTARIOS</t>
  </si>
  <si>
    <t>Industria y comercio</t>
  </si>
  <si>
    <t>Sanciones tributarias</t>
  </si>
  <si>
    <t>Otros ingresos no tributarios</t>
  </si>
  <si>
    <t>Sobretasa bomberil</t>
  </si>
  <si>
    <t>Cultura</t>
  </si>
  <si>
    <t>REGALIAS</t>
  </si>
  <si>
    <t>RECURSOS PROPIOS</t>
  </si>
  <si>
    <t>TRANSFERENCIAS</t>
  </si>
  <si>
    <t>Estampilla procultura</t>
  </si>
  <si>
    <t>COFINANCIACIONES</t>
  </si>
  <si>
    <t>GASTOS</t>
  </si>
  <si>
    <t>GASTOS DE FUNCIONAMIENTO</t>
  </si>
  <si>
    <t>CONCEJO MUNICIPAL</t>
  </si>
  <si>
    <t>DEPORTE</t>
  </si>
  <si>
    <t>CULTURA</t>
  </si>
  <si>
    <t>RENDIMIENTOS FINANCIEROS</t>
  </si>
  <si>
    <t>Definir e implementar (1) Programa de prevención de la farmacodependencia y de ayuda al farmacodependiente durante los cuatro años</t>
  </si>
  <si>
    <t>Reducir los casos de desnutrición global 1%</t>
  </si>
  <si>
    <t>Reducir los casos de desnutrición crónica 2%</t>
  </si>
  <si>
    <t>Reducir la tasa de mortalidad infantil un 2%</t>
  </si>
  <si>
    <t>Reducir el 16% de embarazos en adolescentes</t>
  </si>
  <si>
    <t>Aumentar la tasa Neta de cobertura en Transición al 80%</t>
  </si>
  <si>
    <t>Desarrollar e implementar (1) programa de Estimulación Temprana en bebes, niños y niñas durante los cuatro años.</t>
  </si>
  <si>
    <t>Crear e implementar (1) una política pública de infancia y adolescencia que Garantice el cumplimiento de todas las categorías de derechos de los niños, niñas y adolescentes (Existencia, Desarrollo, ciudadanía, protección especial)</t>
  </si>
  <si>
    <t xml:space="preserve">Desarrollar e implementar (1)  programa de Promoción de Hábitos y Estilo de Vida Saludable para   niños y adolescentes en el casco urbano y rural durante los cuatro años </t>
  </si>
  <si>
    <t>Desarrollar e implementar (1) programa de  Salud Sexual y Reproductiva para Adolescentes en el casco urbano y rural.</t>
  </si>
  <si>
    <t>Desarrollar e implementar (1) programa de Posicionamiento de la familia como promotor del desarrollo Integral de los Nobsanitos.</t>
  </si>
  <si>
    <t>Aumentar en 2 horas más la intensidad horaria de la catedra de Ingles, en todo  el ciclo escolar.</t>
  </si>
  <si>
    <t>Definir e implementar un (1) programa de atención a estudiantes con necesidades Especiales</t>
  </si>
  <si>
    <t>Desarrollar e implementar (1) programa para Promover la investigación en los  estudiantes del municipio.</t>
  </si>
  <si>
    <t>Realizar  (1) concurso de investigación por año, para estudiantes</t>
  </si>
  <si>
    <t>Desarrollar e implementar (1) programa de aprovechamiento del tiempo libre que incluya a la primera infancia, infancia y adolescencia</t>
  </si>
  <si>
    <t>Dotar y equipar con herramientas pedagógicas los colegios oficiales del municipio (laboratorios, talleres, tecnologías de la información y comunicación, libros) por lo menos (1) vez, en los cuatro años</t>
  </si>
  <si>
    <t>Fortalecer la Ludoteca Municipal</t>
  </si>
  <si>
    <t>Continuar con el programa de escuelas de formación artística</t>
  </si>
  <si>
    <t>Aumentar la tasa de cobertura Neta en transición al 80%.</t>
  </si>
  <si>
    <t>Aumentar la tasa de cobertura Neta en educación básica al 90%</t>
  </si>
  <si>
    <t>Mantener  la  cobertura Neta en educación media por encima del 100%</t>
  </si>
  <si>
    <t>Atender al menos al  70 %  de la población escolar con alimentación escolar</t>
  </si>
  <si>
    <t>Mantener la tasa de deserción escolar menor o igual a cero</t>
  </si>
  <si>
    <t>Incrementar a 308 el puntaje promedio de las pruebas SABER 5 en los establecimientos oficiales del municipio al final del cuatrienio.</t>
  </si>
  <si>
    <t>Incrementar a 306 el puntaje promedio de las SABER 9, en los establecimientos oficiales del municipio</t>
  </si>
  <si>
    <t>Incrementar el puntaje promedio de las SABER 11, en los establecimientos oficiales del municipio</t>
  </si>
  <si>
    <t>Obtener resultados de categoría superior en el examen de prueba SABER 11 (anual) para el año 2015 en los dos planteles educativos oficiales del municipio en la jornada diurna.</t>
  </si>
  <si>
    <t>Reducir la tasa de analfabetismo en 1% con base en el censo 2005 al final del cuatrienio</t>
  </si>
  <si>
    <t>Ajustar el 100% de los planes educativos Institucionales PEI de los colegios oficiales, acordes al contexto socioeconómico del municipio, de la región y del país.</t>
  </si>
  <si>
    <t>Implementar el 100% de los planes de Mejoramiento en los establecimientos oficiales del municipio</t>
  </si>
  <si>
    <t>Disminuir el Índice de Necesidades Básicas Insatisfechas en el área Rural en un 4%.</t>
  </si>
  <si>
    <t>Disminuir el Índice de Necesidades Básicas Insatisfechas en el área Urbano 4%.</t>
  </si>
  <si>
    <t>Lograr que todas las familias acompañadas por Red UNIDOS superen su situación de pobreza.</t>
  </si>
  <si>
    <t>Definir e implementar (1) programa integral de atención a población en condición de discapacidad.</t>
  </si>
  <si>
    <t>Adecuar un (1) Centro de Atención a población en condición de Discapacidad</t>
  </si>
  <si>
    <t xml:space="preserve">Definir e implementar un (1) programa de generación de ingresos, según necesidades especificas de mujeres madres cabezas de familia y mujeres jóvenes en condiciones dignas y de equidad </t>
  </si>
  <si>
    <t>Disminuir en 10% la prevalencia de consumo de drogas ilegales  en la población de 12 a 17 años de edad</t>
  </si>
  <si>
    <t>Reducir los casos de desnutrición global 1 punto porcentual</t>
  </si>
  <si>
    <t>Reducir los casos de desnutrición crónica 2 puntos porcentuales</t>
  </si>
  <si>
    <t>Ningún  niño y niña muere por causas que sean evitables</t>
  </si>
  <si>
    <t>Adelantar un (1) estudio para identificar las causas de la morbilidad actual.</t>
  </si>
  <si>
    <t xml:space="preserve">META DE RESULTADO: </t>
  </si>
  <si>
    <t xml:space="preserve">Restaurar 3 bienes de la infraestructura cultural </t>
  </si>
  <si>
    <t>Continuar con un (1) programa de escuelas de formación artística.</t>
  </si>
  <si>
    <t>Apoyar 20 eventos culturales y artísticos en diferentes sectores del municipio durante el cuatrienio.</t>
  </si>
  <si>
    <t>Desarrollar 6 festivales anuales de expresión artística</t>
  </si>
  <si>
    <t>Diseñar un (1) programa dirigido al fomento de la memoria local.</t>
  </si>
  <si>
    <t>Diseñar e implementar un (1) plan cultural municipal durante el cuatrienio</t>
  </si>
  <si>
    <t>Implementar un (1) programa de actividad física para disminuir los niveles de sedentarismo como medio de promoción de salud y prevención de la enfermedad (Ej.  Aeróbicos al parque,  caminatas, ciclo vías etc.)</t>
  </si>
  <si>
    <t>Implementar un (1) programa dirigido a la población discapacitada del municipio</t>
  </si>
  <si>
    <t>Realizar un (1) programa de actividad física dirigido al adulto mayor.</t>
  </si>
  <si>
    <t>Mantener el índice de calidad del agua para consumo humano IRCA e IRABA en el municipio en bajo riesgo.</t>
  </si>
  <si>
    <t>Desarrollar  e implementar un (1) Programa de Gestión de Residuos Sólidos PGIRS en el cuatrienio.</t>
  </si>
  <si>
    <t>Generar 20 nuevos empleos directos</t>
  </si>
  <si>
    <t>Alcanzar una ocupación promedio anual del 25%.</t>
  </si>
  <si>
    <t>Vender un 100% de productos artesanales locales, dentro de la ciudadela artesanal.</t>
  </si>
  <si>
    <t>Capacitar a 100 jóvenes en diseño y producción de artesanías</t>
  </si>
  <si>
    <t>Capacitar a 80 personas en finanzas y mercadeo al terminar el cuatrienio.</t>
  </si>
  <si>
    <t>Crear el concurso al mérito artesanal (se realizara una vez por año).</t>
  </si>
  <si>
    <t>Participar en 2 ferias por año.</t>
  </si>
  <si>
    <t>Participar anualmente en el concurso “Medalla a la artesanía”, de Artesanías de Colombia</t>
  </si>
  <si>
    <t>Generar 50 nuevos empleos directos en el municipio durante el cuatrienio.</t>
  </si>
  <si>
    <t>Fomentar la creación de 10 MIPYMES.</t>
  </si>
  <si>
    <t>Realizar 2 ferias al año para la promoción de productos de las MIPYMES.</t>
  </si>
  <si>
    <t>Crear el premio emprender con estímulos financieros, se realizara una vez al año.</t>
  </si>
  <si>
    <t>Crear una (1) rueda de negocios al año</t>
  </si>
  <si>
    <t>Lograr que 16 hectáreas de los cultivos transitorios utilicen el sistema BPA.</t>
  </si>
  <si>
    <t>Dejar articulado el 20% de los productores agropecuarios a un sistema de regadío.</t>
  </si>
  <si>
    <t>Agremiar el 60% de los productores y comercializadores al terminar el cuatrienio. S</t>
  </si>
  <si>
    <t>Elaborar un (1) plan de negocios para productos orgánicos</t>
  </si>
  <si>
    <t>Brindar asistencia técnica y seguimiento a 80 productores pecuarios y 30 agrícolas mensualmente.</t>
  </si>
  <si>
    <t xml:space="preserve">Capacitar a 100 productores en contabilidad básica. </t>
  </si>
  <si>
    <t>Hacer un (1) estudio de composición del suelo</t>
  </si>
  <si>
    <t>Conformar una asociación de productores y comercializadores</t>
  </si>
  <si>
    <t>Realizar 3 jornadas anuales de seguimiento y control ambiental a las licencias y planes de manejo ambiental a empresas con sede en el municipio</t>
  </si>
  <si>
    <t>Incentivar 2 investigaciones ambientales permanentes durante el cuatrienio</t>
  </si>
  <si>
    <t>Pavimentar 1.060 ml de vía, al terminar el cuatrienio</t>
  </si>
  <si>
    <t xml:space="preserve">Terminar y habilitar 660 ml de doble calzada avenida San Roque </t>
  </si>
  <si>
    <t>Terminar el 100% de la plaza de ferias y eventos culturales durante el cuatrienio</t>
  </si>
  <si>
    <t>Adecuar y equipar un (1) espacio para la casa de la cultura del barrio Nazareth</t>
  </si>
  <si>
    <t xml:space="preserve">Terminar y adecuar el 100% de la cubierta y graderías existentes del estadio municipal </t>
  </si>
  <si>
    <t>Realizar un (1) mantenimiento coliseo cubierto de Nobsa durante el cuatrienio</t>
  </si>
  <si>
    <t>Construir 1.400 m2 de aulas educativas en los colegios oficiales del municipio durante el período de gobierno.</t>
  </si>
  <si>
    <t>Aumentar a 308 los resultados en las pruebas SABER 5, en el 100% de los colegios oficiales</t>
  </si>
  <si>
    <t>Aumentar a 306 los resultados en las pruebas SABER 9, en el 100% de los colegios oficiales</t>
  </si>
  <si>
    <t>Aumentar a 48 los resultados en las pruebas SABER 11, en el 100% de los colegios oficiales</t>
  </si>
  <si>
    <t>Realizar una (1) campaña durante el período de gobierno que promueva los mecanismos de participación ciudadana para adolescentes y jóvenes.</t>
  </si>
  <si>
    <t>Hacer 12 presentaciones por año de los integrantes de las escuelas de formación artística</t>
  </si>
  <si>
    <t>Realizar un (1) mantenimiento por año a los establecimientos educativos oficiales del municipio</t>
  </si>
  <si>
    <t>Construir y adecuar una (1) sala de velación durante el cuatrienio</t>
  </si>
  <si>
    <t xml:space="preserve">Publicar una (1) cartilla que promocione los valores cívicos y de compromiso social de los Nobsanos con su Municipio </t>
  </si>
  <si>
    <t>Terminación del 100% del centro integral cultural municipal</t>
  </si>
  <si>
    <t>Fortalecer el Consejo Municipal de la cultura en el cuatrienio.</t>
  </si>
  <si>
    <t>Formular un (1) programa de mantenimiento de la infraestructura cultural del municipio durante el cuatrienio.</t>
  </si>
  <si>
    <t>Realizar 4 adecuaciones y mantenimientos a los escenarios deportivos de los establecimientos oficiales del municipio durante el período de gobierno.</t>
  </si>
  <si>
    <t>Proveer el 10% de la cabecera municipal con conexión de fibra óptica.</t>
  </si>
  <si>
    <t>Embellecer 4.800 M2 de fachadas en el parque central y alrededores.</t>
  </si>
  <si>
    <t>Reconstruir 1.200 m2 de andenes, con énfasis en calles del parque central</t>
  </si>
  <si>
    <t>Desarrollar un (1) programa para reconversión tecnológica en el sector productor de cal en el cuatrienio.</t>
  </si>
  <si>
    <t>Mantenimiento de 2.000 m2 de vías pavimentadas</t>
  </si>
  <si>
    <t>Crear e implementar (1) programa de Promoción y Difusión Turistica del Municipio (Medios de comunicación)</t>
  </si>
  <si>
    <t>Desarrollar un (1) proyecto de construcción de vivienda adecuada a los usos del suelo en el casco urbano en el cuatrienio.</t>
  </si>
  <si>
    <t>Ampliar la red vial pavimentada en 3,230 ml (un 12.2%) al terminar el cuatrienio.</t>
  </si>
  <si>
    <t>Ampliar la red de ciclo ruta en 1800 ml.</t>
  </si>
  <si>
    <t>Realizar señalización y compra de implementos de seguridad vial dos (2) veces en el cuatrienio.</t>
  </si>
  <si>
    <t>Implementar un (1) sistema de seguimiento y evaluación en la entidad al finalizar el período de gobierno.</t>
  </si>
  <si>
    <t>Culminar la fase de implementación del MECI en la Alcaldía al 100%.</t>
  </si>
  <si>
    <t xml:space="preserve">Suscribir un (1) convenio con el INPEC </t>
  </si>
  <si>
    <t>Suscribir un (1) convenio con la Casa del menor</t>
  </si>
  <si>
    <t>Suscribir un (1) convenio con el Centro de paso de menores infractores CRESER.</t>
  </si>
  <si>
    <t>Otorgar créditos a 20 microempresarios para capital de trabajo, bajo convenio con Fondo Emprender y FINDETER, Banco de la Mujer, FOMIPYME y Banca Privada</t>
  </si>
  <si>
    <t>Crear un programa de capacitación con el SENA para discapacitados.</t>
  </si>
  <si>
    <t>Definir (1) programa de nutrición para madres gestantes, niñas, niños y adolescentes articulado a las acciones del gobierno nacional, el departamento y el municipio, durante los cuatro años.</t>
  </si>
  <si>
    <t>Definir e implementar un (1) programa de prevencion de la violencia intrafamiliar y abuso sexual.</t>
  </si>
  <si>
    <t>Mantener un programa de comedor comunitario.</t>
  </si>
  <si>
    <t>Ampliar la  oferta en servicios de Salud del municipio.</t>
  </si>
  <si>
    <t>Recuperar 5 km de micro cuencas durante el cuatrienio.</t>
  </si>
  <si>
    <t>Implementar un (1) programa educativo encaminado a crear una cultura de uso y conservación de suelo y el medio ambiente.</t>
  </si>
  <si>
    <t>Publicar un (1) documento que contenga un panorama de riesgo de desastres a los que está expuesto el municipio de Nobsa (3000 copias)</t>
  </si>
  <si>
    <t>Realizar un (1) simulacro de atención de riesgo en el cuatrienio.</t>
  </si>
  <si>
    <t>Celebrar un (1) convenio anual con organismos de respuesta para la atención de desastres.</t>
  </si>
  <si>
    <t>Crear un (1) programa de catedra de emprenderismo, para estudiantes de ciclo escolar.</t>
  </si>
  <si>
    <t>Implementar un (1) programa de apoyo a las MIPYMES.</t>
  </si>
  <si>
    <t>Continuar un programa de clubes juveniles y prejuveniles.</t>
  </si>
  <si>
    <t>Continuar un (1) convenio con el jardin infantil nobsanitos</t>
  </si>
  <si>
    <t>Construir un (1) jardin infantil durante el cuatrienio.</t>
  </si>
  <si>
    <t>Dotar el 50% de las escuelas de de formación artistica.</t>
  </si>
  <si>
    <t>Implementar un (1) programa navideño.</t>
  </si>
  <si>
    <t>Organizar y patrocinar un (1) evento por cada disciplina deportiva que se practica en el municipio al año.</t>
  </si>
  <si>
    <t>Realizar mantenimiento a los 25 escenarios deportivos  y parques infantiles.</t>
  </si>
  <si>
    <t>Mantener la tasa de cobertura del 99% en el servicio de acueducto en el sector urbano durante el cuatrienio</t>
  </si>
  <si>
    <t>Mantener la tasa de cobertura del 98% en el servicio de acueducto en el sector rural durante el cuatrienio.</t>
  </si>
  <si>
    <t>Ampliar la tasa de cobertura del servicio de alcantarillado urbano al 98% al finalizar al cuatrienio.</t>
  </si>
  <si>
    <t>Ampliar la tasa de cobertura del servicio de alcantarillado rural al 89% al finalizar al cuatrienio.</t>
  </si>
  <si>
    <t>Hacer mantenimiento y limpieza una (1) vez por año a las plantas de tratamiento y tanques de almacenamiento del municipio.</t>
  </si>
  <si>
    <t>Ampliar la red de acueducto del municipio en 250 ml durante el cuatrienio.</t>
  </si>
  <si>
    <t>Ampliar la red de alcantarillado del municipio en 470 ml durante el cuatrienio.</t>
  </si>
  <si>
    <t>Realizar un (1) estudio de búsqueda de agua en pozos profundos</t>
  </si>
  <si>
    <t>Hacer un (1) mantenimiento del alcantarillado y las plantas de aguas residuales por año.</t>
  </si>
  <si>
    <t>Subsidio a la demanda.</t>
  </si>
  <si>
    <t>Cuota de manejo, administración y participación de usochicamocha y CORPOBOYACÁ.</t>
  </si>
  <si>
    <t>Definir e implementar un (1) programa de vivienda en lote propio en el cuatrienio.</t>
  </si>
  <si>
    <t>Enlazar a 120 usuarios con conexión a internet de fibra óptica.</t>
  </si>
  <si>
    <t>Incrementar el índice de desempeño integral del municipio al 90% al final del cuatrienio.</t>
  </si>
  <si>
    <t>Realizar una (1) actualización catastral urbana y rural en el municipio durante el cuatrienio.</t>
  </si>
  <si>
    <t>Realizar un (1) programa de cobro coactivo y sensibilización sobre el cumplimiento en el pago de los impuestos en los diferentes sectores del municipio en el cuatrienio.</t>
  </si>
  <si>
    <t>Realizar un (1) estudio de estratificación urbano-rural del municipio durante el cuatrienio.</t>
  </si>
  <si>
    <t>Apoyar la gestión administrativa, operativa y financiera de la entidad durante el período de gobierno.</t>
  </si>
  <si>
    <t>Organizar el banco de programas y proyectos de inversión municipal durante el período de gobierno.</t>
  </si>
  <si>
    <t>Realizar una (1) actualización al inventario de propiedad del municipio en el cuatrienio.</t>
  </si>
  <si>
    <t>Actualizar el 60% del software institucional durante los cuatro años de gobierno.</t>
  </si>
  <si>
    <t>Efectuar un (1) mantenimiento y actualización al archivo municipal al final del período de gobierno.</t>
  </si>
  <si>
    <t>Incrementar al 90% la automatización de procesos de la entidad durante el período de gobierno.</t>
  </si>
  <si>
    <t>Implementar (1) sistema de información Social para la entidad durante el período de gobierno.</t>
  </si>
  <si>
    <t>Elaborar e implementar un (1) estudio de modernización organizacional en la entidad durante el cuatrienio.</t>
  </si>
  <si>
    <t>Realizar  20 reuniones con la comunidad y sectores representativos del municipio sobre formulación, ejecución, seguimiento y rendición de cuentas del plan de desarrollo durante el cuatrienio.</t>
  </si>
  <si>
    <t>Hacer 6 consejos comunitarios en la jurisdicción durante el cuatrienio.</t>
  </si>
  <si>
    <t>Realizar una (1) audiencia pública de rendición de cuentas por año a la comunidad nobsana.</t>
  </si>
  <si>
    <t>Fortalecer el Consejo de la juventud municipal</t>
  </si>
  <si>
    <t>Fortalecer el Consejo Territorial de Planeación municipal por año</t>
  </si>
  <si>
    <t>Desarrollar 10 reuniones con la comunidad y sectores representativos del municipio para la formulación del plan de desarrollo.</t>
  </si>
  <si>
    <t>Brindar apoyo y fortalecimiento a las instituciones sociales y comunales del municipio durante el cuatrienio.</t>
  </si>
  <si>
    <t>Reducir a 40 el número de casos de lesiones personales reportados en el municipio durante el cuatrienio. (42%).</t>
  </si>
  <si>
    <t>Implementar un (1) programa de alarmas comunitarias en la municipalidad durante el período de gobierno.</t>
  </si>
  <si>
    <t>Suscribir un (1) convenio con el CESPA</t>
  </si>
  <si>
    <t>Reducir anualmente el número de hurtos en sus diferentes modalidades a 18 en la jurisdicción. (21%).</t>
  </si>
  <si>
    <t>Disminuir a 18 el número de estudiantes por computador en las sedes educativas oficiales del municipio al término del cuatrienio. (30%)</t>
  </si>
  <si>
    <t>Mejorar al 70% la capacidad instalada de la sala de tecnologías de la información del municipio en el período de gobierno.</t>
  </si>
  <si>
    <t>Establecer un (1) convenio de  apoyo por año con los canales comunales de televisión por cable del municipio</t>
  </si>
  <si>
    <t>Establecer un (1) convenio de  apoyo con la emisora comunitaria por año.</t>
  </si>
  <si>
    <t>Implementar la fase de transacción en línea del manual de gobierno en línea en el municipio para mejorar la calidad de la información ofrecida y de los servicios prestados por medios electrónicos durante el período de gobierno.</t>
  </si>
  <si>
    <t>Ofrecer 2 servicios en línea para la obtención de productos y servicios mediante canales seguros en el municipio al final del período de gobierno.</t>
  </si>
  <si>
    <t>Efectuar un (1) mantenimiento por año a la página web del municipio</t>
  </si>
  <si>
    <t>PROGRAMA ESTRATEGICO DSC 1 EDUCACIÓN PARA EL DESARROLLO HUMANO</t>
  </si>
  <si>
    <t>PROGRAMA ESTRATEGICO DSC 2  FORTALECIMIENTO A LA COBERTURA</t>
  </si>
  <si>
    <t>Desarrollar (1) un convenio para preparar a los estudiantes de los establecimientos públicos oficiales para las pruebas SABER 11</t>
  </si>
  <si>
    <t>PROGRAMA ESTRATEGICO DSC 3 NOBSA, TERRITORIO LIBRE DE POBREZA Y CON ATENCIÓN A POBLACIÓN VULNERABLE</t>
  </si>
  <si>
    <t xml:space="preserve"> PROGRAMA ESTRATÉGICO DSC 4 NOB SANOS POR SIEMPRE</t>
  </si>
  <si>
    <t>Subprograma Estratégico 4.2 Calidad en el servicio de Salud una Prioridad</t>
  </si>
  <si>
    <t>Subprograma Estratégico DSC 5.1 Saludables y en familia</t>
  </si>
  <si>
    <t>Subprograma Estratégico DSC 5.2 Desarrollándonos  y Jugando</t>
  </si>
  <si>
    <t>Subprograma Estratégico DSC 5.3 Participando</t>
  </si>
  <si>
    <t>Subprograma Estratégico DSC 5.4 Especialmente Protegido</t>
  </si>
  <si>
    <t xml:space="preserve">Subprograma Estratégico DSC 4.1 Aseguramiento en Salud </t>
  </si>
  <si>
    <t>Subprograma Estratégico DSC 4.3 Prevenir vale menos que curar</t>
  </si>
  <si>
    <t>PROGRMA ESTRATÉGICO DSC 5 NOB SANITOS CON OPORTUNIDADES Y CAPACIDADES</t>
  </si>
  <si>
    <t>PROGRAMA ESTRATÉGICO DSC 6 NOBSA CON CRECIMIENTO UNIFORME URBANO UNIFORME</t>
  </si>
  <si>
    <t>PROGRAMA ESTRATÉGICO DSC 7 POR NUESTRA IDENTIDAD Y ARRAIGO</t>
  </si>
  <si>
    <t>Subprograma Estratégico DSC 7.2 Nobsa cultural</t>
  </si>
  <si>
    <t>Subprograma Estratégico DSC 7.1 Desarrollo artístico integral</t>
  </si>
  <si>
    <t>Subprograma Estratégico DSC 7.3 Nobsa por siempre joven</t>
  </si>
  <si>
    <t>Subprograma Estratégico DSC 7.4 Desarrollo plan cultural y artístico</t>
  </si>
  <si>
    <t>PROGRAMA ESTRATÉGICO DSC 8 NOBSA DEPORTIVA</t>
  </si>
  <si>
    <t>Subprograma Estratégico DSC 8.1 Deporte y salud</t>
  </si>
  <si>
    <t>Subprograma Estratégico DSC 8.2 El deporte nobsano no puede quedar de último</t>
  </si>
  <si>
    <t>Subprograma Estratégico DSC 8.3 Nobsa especial</t>
  </si>
  <si>
    <t>Subprograma Estratégico DSC 8.4 Infraestructura deportiva y recreativa</t>
  </si>
  <si>
    <t>PROGRAMA ESTRATÉGICO DSC 9 AGUA POTABLE Y SANEAMIENTO BÁSICO</t>
  </si>
  <si>
    <t>Contratar un (1) estudio de modernización de la empresa de servicios públicos en el cuatrienio.</t>
  </si>
  <si>
    <t>PROGRAMA ESTRATÉGICO 10 OTROS SERVICIOS PÚBLICOS</t>
  </si>
  <si>
    <t>Subprograma Estratégico  DSC 10.1 Servicios para mejorar el bienestar</t>
  </si>
  <si>
    <t>PROGRAMA ESTRATÉGICO DE 1 TURISMO Y ARTESANÍAS, PRESENTE Y FUTURO DE LA ECONOMÍA NOBSANA</t>
  </si>
  <si>
    <t>Subprograma  Estratégico DE 1.2 Terminación y puesta en funcionamiento de la ciudadela artesanal.</t>
  </si>
  <si>
    <t>Subprograma  Estratégico DE 1.3 Nobsa bello, acogedor y turístico.</t>
  </si>
  <si>
    <t>Subprograma  Estratégico DE 1.4 Artesanos más competitivos e innovadores</t>
  </si>
  <si>
    <t>Subprograma  Estratégico DE 1.5 Nobsa se toma a Colombia.</t>
  </si>
  <si>
    <t>PROGRAMA ESTRATÉGICO DE 2 NOBSANOS POR SIEMPRE TRABAJANDO</t>
  </si>
  <si>
    <t>Subprograma Estratégico DE 2.1 Estímulo a la creación de micro, pequeñas y medianas empresas MIPYMES</t>
  </si>
  <si>
    <t>PROGRAMA ESTRATÉGICO DE 3 APOYO AL CAMPO NOBSANO</t>
  </si>
  <si>
    <t>Subprograma  Estratégico DE 3.1 Sistemas de Regadío</t>
  </si>
  <si>
    <t>Subprograma  Estratégico DE 3.2 Crédito financiero</t>
  </si>
  <si>
    <t>Subprograma  Estratégico DE 3.3 Asistencia técnica y capacitación</t>
  </si>
  <si>
    <t>Subprograma  Estratégico DE 3.4 Nobsano productores y comercializadores por siempre trabajando por el campo</t>
  </si>
  <si>
    <t>Predial unificado</t>
  </si>
  <si>
    <t>Delineación urbana</t>
  </si>
  <si>
    <t>Alumbrado público</t>
  </si>
  <si>
    <t>Tasas y derechos</t>
  </si>
  <si>
    <t>Multas y sanciones</t>
  </si>
  <si>
    <t>Intereses moratorios</t>
  </si>
  <si>
    <t>Rentas contractuales</t>
  </si>
  <si>
    <t>Transferencias departamentales</t>
  </si>
  <si>
    <t>Regalías</t>
  </si>
  <si>
    <t xml:space="preserve">TOTAL INGRESOS </t>
  </si>
  <si>
    <t>TRIBUTARIOS</t>
  </si>
  <si>
    <t>NO TRIBUTARIOS</t>
  </si>
  <si>
    <t>REGALÍAS</t>
  </si>
  <si>
    <t>Fondo local de salud</t>
  </si>
  <si>
    <t>Fondo de seguridad y convivencia</t>
  </si>
  <si>
    <t>FONDOS ESPECIALES</t>
  </si>
  <si>
    <t>TOTAL INGRESOS</t>
  </si>
  <si>
    <t>EDUCACIÓN</t>
  </si>
  <si>
    <t>Calidad en matrícula</t>
  </si>
  <si>
    <t>Calidad en gratuidad</t>
  </si>
  <si>
    <t>ALIMENTACIÓN ESCOLAR</t>
  </si>
  <si>
    <t>AGUA POTABLE SAN. BAS.</t>
  </si>
  <si>
    <t>OTROS SECTORES</t>
  </si>
  <si>
    <t>TOTAL</t>
  </si>
  <si>
    <t>PERSONERÍA MUNICIPAL</t>
  </si>
  <si>
    <t>ALCALDÍA MUNICIPAL</t>
  </si>
  <si>
    <t>GASTOS DE INVERSIÓN</t>
  </si>
  <si>
    <t>TOTAL FUENTE DE RECURSOS</t>
  </si>
  <si>
    <t>Fondo de solidaridad</t>
  </si>
  <si>
    <t>TOTAL GASTOS DE FUNCIONAMIENTO</t>
  </si>
  <si>
    <t>TOTAL GASTOS DE INVERSIÓN</t>
  </si>
  <si>
    <t>Meta de Producto</t>
  </si>
  <si>
    <t>OBJETIVO ESTRATÉGIO DE 2 Garantizar la sostenibilidad y competitividad de la población Nobsana, fundamentada en la generación de empleo y en un aumento significativo del ingreso, basada en el turismo, la industria, el campo, la producción artesanal, el comercio y la minería, todo enmarcado en un ambiente sano y de  respeto por el ser humano.</t>
  </si>
  <si>
    <t>OBJETIVO ESTRATÉGICO DAN 3 Coordinar y dirigir, con la asesoría de las autoridades ambientales, actividades permanentes de control y vigilancia ambiental en el territorio del municipio, en relación con el uso, aprovechamiento de los recursos naturales, con actividades contaminantes y degradantes del agua, el aire y el suelo</t>
  </si>
  <si>
    <t>PROGRAMA ESTRATÉGICO DAN 1 EL AMBIENTE NO PUEDE QUEDAR VOLANDO</t>
  </si>
  <si>
    <t>Subprograma  Estratégico DAN 1.1 El ambiente sano y controlado</t>
  </si>
  <si>
    <t xml:space="preserve">Subprograma  Estratégico DAN 1.2 Mejoremos nuestro suelo </t>
  </si>
  <si>
    <t>Subprograma  Estratégico DAN 1.3 Micro cuencas para el futuro</t>
  </si>
  <si>
    <t>PROGRAMA ESTRATÉGICO DAN 2 DESASTRECÉMONOS</t>
  </si>
  <si>
    <t>Subprograma  Estratégico DAN 2.1 Nobsanos alerta</t>
  </si>
  <si>
    <t>Definir e implementar un (1) plan de emergencias y contingencias PLEC`s.</t>
  </si>
  <si>
    <t>Subprograma   Estratégico DAN 2.2 Solución de problemas de drenaje e inundación en la zona rural</t>
  </si>
  <si>
    <t>OBJETIVO ESTRATÉGICO DAC 4 Fortalecer el hábitat construido y el equipamiento municipal con el fin de brindar a los habitantes y visitantes una infraestructura adecuada para el desarrollo de las actividades sociales, económicas y político-administrativas</t>
  </si>
  <si>
    <t>PROGRAMA ESTRATÉGICO DAC 1 SISTEMA VIAL, FACTOR DE DESARROLLO</t>
  </si>
  <si>
    <t>Subprograma  Estratégico DAC 1.1  Más y mejores vías</t>
  </si>
  <si>
    <t>Subprograma  Estratégico DAN 1.2 Ciclo rutas</t>
  </si>
  <si>
    <t>OBJETIVO ESTRATEGICO DPA 5 Establecer una organización moderna, racional en la utilización de los recursos humanos, materiales, financieros y tecnológicos, participativa, que fomente la innovación, defensora  de los derechos y actuando según los preceptos que rigen la función administrativa.</t>
  </si>
  <si>
    <t>Sector Justicia</t>
  </si>
  <si>
    <t>TOTAL POR FUENTE DE RECURSOS</t>
  </si>
  <si>
    <t>TOTAL INVERSIÓN</t>
  </si>
  <si>
    <t>TOTAL RECURSOS PROPIOS</t>
  </si>
  <si>
    <t>TOTAL SGP</t>
  </si>
  <si>
    <t>TOTAL REGALÍAS</t>
  </si>
  <si>
    <t>TOTAL OTROS</t>
  </si>
  <si>
    <t>TOTAL PRESUPUESTO INVERSIONES PDM 2012-2015</t>
  </si>
  <si>
    <t>Realizar mantenimiento al 60% de los bienes muebles e inmuebles de propiedad del municipio durante el cuatrienio</t>
  </si>
  <si>
    <t>PROGRAMA ESTRATÉGICO DAC 2 EQUIPAMIENTO MUNICIPAL</t>
  </si>
  <si>
    <t>Subprograma  Estratégico DAC 2.1  Estructura física y equipamiento</t>
  </si>
  <si>
    <t>TOTAL PROGRAMA DSC 3</t>
  </si>
  <si>
    <t>TOTAL PROGRAMA DSC 2</t>
  </si>
  <si>
    <t>TOTAL PROGRAMA DSC 1</t>
  </si>
  <si>
    <t>TOTAL PROGRAMA DSC 4</t>
  </si>
  <si>
    <t>TOTAL PROGRAMA DSC 5</t>
  </si>
  <si>
    <t>TOTAL PROGRAMA DSC 6</t>
  </si>
  <si>
    <t>TOTAL PROGRAMA DSC 7</t>
  </si>
  <si>
    <t>TOTAL PROGRAMA DSC 8</t>
  </si>
  <si>
    <t>TOTAL PROGRAMA DSC 9</t>
  </si>
  <si>
    <t>TOTAL PROGRAMA DSC 10</t>
  </si>
  <si>
    <t>TOTAL PROGRAMA DE 1</t>
  </si>
  <si>
    <t>TOTAL PROGRAMA DE 2</t>
  </si>
  <si>
    <t>TOTAL PROGRAMA DE 3</t>
  </si>
  <si>
    <t>TOTAL PROGRAMA DAN 1</t>
  </si>
  <si>
    <t>TOTAL PROGRAMA DAN 2</t>
  </si>
  <si>
    <t>TOTAL PROGRAMA DAC 1</t>
  </si>
  <si>
    <t>TOTAL PROGRAMA DAC 2</t>
  </si>
  <si>
    <t>TOTAL PROGRAMA DPA 2</t>
  </si>
  <si>
    <t>PROGRAMA ESTRATEGICO DPA 2 GESTIÓN PÚBLICA CON PARTICIPACIÓN SOCIAL</t>
  </si>
  <si>
    <t>TOTAL PROGRAMA DPA 3</t>
  </si>
  <si>
    <t>PROGRAMA ESTRATEGICO DPA 4 LA CONECTIVIDAD, UN RETO MODERNO</t>
  </si>
  <si>
    <t>TOTAL PROGRAMA DPA 4</t>
  </si>
  <si>
    <t>TOTAL PROGRAMA DPA 5</t>
  </si>
  <si>
    <t>Alimentación Escolar</t>
  </si>
  <si>
    <t>Educación</t>
  </si>
  <si>
    <t>Deporte y recreación</t>
  </si>
  <si>
    <t>Día del Campesino</t>
  </si>
  <si>
    <t>Realizar  2 mantenimientos por año al servicio de alumbrado público del municipio.</t>
  </si>
  <si>
    <t>Pago alumbrado público</t>
  </si>
  <si>
    <t>Hacer mantenimiento al 100% de las zonas verdes durante el cuatrenio</t>
  </si>
  <si>
    <t>Contratar  un (1) servicio de estación de monitoreo ambiental durante el cuatrienio.</t>
  </si>
  <si>
    <t>Pago Corpoboyaca</t>
  </si>
  <si>
    <t xml:space="preserve">Equipar anualmente a los organismos de respuesta para la atención de desastres del municipio </t>
  </si>
  <si>
    <t>Fortalecimiento del CLOPAD</t>
  </si>
  <si>
    <t>Efectuar mantenimiento durante el cuatrienio a las instalaciones del palacio municipal y otras dependencias pertenecientes a la administración que lo requieran.</t>
  </si>
  <si>
    <t>Fortalecimiento institucional</t>
  </si>
  <si>
    <t>Transferencias al FONPET</t>
  </si>
  <si>
    <t>Seguridad social creadores y gestores culturales</t>
  </si>
  <si>
    <t>Fortalecimiento a la seguridad (rendimientos fros)</t>
  </si>
  <si>
    <t>PROGRAMA ESTRATEGICO DPA 3 NOBSANOS VIGILANTES DE SUS DERECHOS</t>
  </si>
  <si>
    <t>Fortalecer el actuar de la fuerza pública en el municipio durante el cuatrienio</t>
  </si>
  <si>
    <t>PROGRAMA ESTRATEGICO DPA 1 GESTIÓN EFICIENTE</t>
  </si>
  <si>
    <t>Atender a la población desplazada</t>
  </si>
  <si>
    <t>Dar continuidad a la atención de familias en Acción  y Red Unidos</t>
  </si>
  <si>
    <t>Promover una fuente de ingreso o sustento económico al 20% de  los adultos mayores de 60 años pertenecientes al SISBEN 1</t>
  </si>
  <si>
    <t>Mantener la cobertura de la población pobre no asegurada</t>
  </si>
  <si>
    <t>Desarrollar e implementar (1) un programa de capacitación  y sensibilización en salud al personal de la ESE una vez al año</t>
  </si>
  <si>
    <t>Inversion a la sobretaza bomberil</t>
  </si>
  <si>
    <t>Apertura de 600 ml, para nuevas vías.</t>
  </si>
  <si>
    <t>Transferencias al Departamento (14%)</t>
  </si>
  <si>
    <t>Tranferencias tesoro nacional (2%)</t>
  </si>
  <si>
    <t>Transferencias Fondo Nacional de Regalías (13%)</t>
  </si>
  <si>
    <t>Población vulnerable</t>
  </si>
  <si>
    <t>TOTAL PROGRAMA DPA1</t>
  </si>
  <si>
    <t>Equipamiento Municipal</t>
  </si>
  <si>
    <t>Trasporte</t>
  </si>
  <si>
    <t>Medio Ambiente</t>
  </si>
  <si>
    <t>TOTAL PRESUPUESTO DE GASTOS 2012-2015</t>
  </si>
  <si>
    <t>Reducir a 50 el número de personas afectadas anualmente por riesgo de desastres.</t>
  </si>
  <si>
    <t>Reducir 180 el número de hectáreas afectadas por riesgo de desastre al año.</t>
  </si>
  <si>
    <t>OTROS</t>
  </si>
  <si>
    <t>DE FUNCIONAMIENTO</t>
  </si>
  <si>
    <t>DE INVERSIÓN</t>
  </si>
  <si>
    <t>Población Vulnerable</t>
  </si>
  <si>
    <t>Salud</t>
  </si>
  <si>
    <t>Población Vulnerable (Infancia y Adolescencia)</t>
  </si>
  <si>
    <t>Desarrollo Comunitario</t>
  </si>
  <si>
    <t>Vivienda</t>
  </si>
  <si>
    <t>Agua Potable</t>
  </si>
  <si>
    <t>Saneamiento Básico</t>
  </si>
  <si>
    <t>Servicios Publicos</t>
  </si>
  <si>
    <t>Promoción del desarrollo</t>
  </si>
  <si>
    <t>Agropecuario</t>
  </si>
  <si>
    <t>Seguridad y convivencia ciudadana</t>
  </si>
  <si>
    <t>DEPENDENCIA RESPONSABLE</t>
  </si>
  <si>
    <t>TOTALES</t>
  </si>
  <si>
    <t>OBJETIVO ESTRATEGICO DSC1  Proveer los servicios necesarios para que la población nobsana logre calidad de vida y desarrolle su potencial humano.</t>
  </si>
  <si>
    <t>Secretaría de Gobierno, Salud y Educación</t>
  </si>
  <si>
    <t>Secretaría de Desarrollo, Cultura y Turismo</t>
  </si>
  <si>
    <t>Secretaría de Desarrollo, Cultura y Turismo - Secretaría de Planeación y obras públicas</t>
  </si>
  <si>
    <t>Secretaría de Planeación y Obras Públicas</t>
  </si>
  <si>
    <t>Secretaría de Desarrollo-Secretaría de Obras Públicas</t>
  </si>
  <si>
    <t>Secretaría de Obras Públicas-Secretaría de Desarrollo</t>
  </si>
  <si>
    <t>Secretaría de Desarrollo-Secretaría de Planeación y obras</t>
  </si>
  <si>
    <t>Secretaría de Desarrollo</t>
  </si>
  <si>
    <t>Secretaría de Desarrollo, cultura y turismo</t>
  </si>
  <si>
    <t>Secretaría de Planeación-Secretaría de Desarrollo</t>
  </si>
  <si>
    <t>Secretaría de Hacienda</t>
  </si>
  <si>
    <t>Secretaría de planeación</t>
  </si>
  <si>
    <t>Almacén municipal</t>
  </si>
  <si>
    <t>Secretaría de Planeación</t>
  </si>
  <si>
    <t>Secretaría de Gobierno</t>
  </si>
  <si>
    <t>DEPEDENCIA RESPONSABLE</t>
  </si>
  <si>
    <t>Subprograma Estratégico DSC 6.1 Mejoramiento de vivienda nueva</t>
  </si>
  <si>
    <t>Subprograma Estratégico DSC 6.2 Vivienda de interés social</t>
  </si>
  <si>
    <t>Subprograma Estratégico DSC 6.3 Vivienda plan terreno propio</t>
  </si>
  <si>
    <t>Subprograma Estratégico DSC 1.1 Planeación para la Educación</t>
  </si>
  <si>
    <t>Subprograma Estratégico DSC 1.2 Ensañando a Aprender y Ayudando a Comprender</t>
  </si>
  <si>
    <t>Subprograma Estratégico DSC 1.3  Niños, Niñas y Adolescentes Bien Alimentados</t>
  </si>
  <si>
    <t>Subprograma Estratégico DSC 1.4 Educación Incluyente</t>
  </si>
  <si>
    <t>Subprograma Estratégico DSC 1.5 No pierdas el Impulso</t>
  </si>
  <si>
    <t>Subprograma Estratégico DSC 2.1 Más apoyo menos deserción</t>
  </si>
  <si>
    <t>Subprograma Estratégico DSC 3.7 Red de Servicios</t>
  </si>
  <si>
    <t>Subprograma  Estratégico DSC 3.8 Atención a Discapacitados, Adulto Mayor y Mujer Cabeza de hogar</t>
  </si>
  <si>
    <t>Subprograma Estratégico DSC 9.A Gente comprometida al servicio de la gente</t>
  </si>
  <si>
    <t>Subprograma Estratégico   DSC 9.2 Manejo Integral del Agua M.I.A.</t>
  </si>
  <si>
    <t>Subprograma  Estratégico DSC 9.3 Fortalecer la gestión ambiental en la prestación de los servicios de saneamiento</t>
  </si>
  <si>
    <t>Subprograma Estratégico DPA1.1 Estructura financiera sana y sostenible</t>
  </si>
  <si>
    <t>Subprograma Estratégico DPA 1.2 Sistemas de información</t>
  </si>
  <si>
    <t>Subprograma Estratégico DPA 1.3 Calidad en la gestión</t>
  </si>
  <si>
    <t>Subprograma Estratégico DPA 1.4 Eficiencia en el actuar público</t>
  </si>
  <si>
    <t>Subprograma Estratégico DPA 1.5 Transferencias</t>
  </si>
  <si>
    <t>Subprograma Estratégico DPA 2.1 Espacios de participación</t>
  </si>
  <si>
    <t>Subprograma Estratégico DPA 2.2 Fortalecimiento de líderes y organizaciones sociales</t>
  </si>
  <si>
    <t>Subprograma Estratégico DPA 3.1 La seguridad, problema de todos</t>
  </si>
  <si>
    <t>Subprograma Estratégico DPA 3.2 Convenios para el manejo de conflictos</t>
  </si>
  <si>
    <t>Subprograma Estratégico DPA 3.3 Fondo de seguridad</t>
  </si>
  <si>
    <t>Subprograma Estratégico DPA 4.1 Capacitación con innovación</t>
  </si>
  <si>
    <t>Subprograma Estratégico DPA 4.2 Comunicación con el ciudadano</t>
  </si>
  <si>
    <t>Subprograma Estratégico DPA 5.1 Un gobierno para el ciudadano</t>
  </si>
  <si>
    <t>Ampliar la red vial sin pavimentar en  600 ml.</t>
  </si>
  <si>
    <t>Ajustar el Plan Básico de Ordenamiento Territorial</t>
  </si>
  <si>
    <t>Dotar la biblioteca Municipal con textos y herramientas de aprendizaje</t>
  </si>
  <si>
    <t>DIMENSIÓN SOCIO-CULTURAL</t>
  </si>
  <si>
    <t>DIMENSIÓN ECONÓMICA</t>
  </si>
  <si>
    <t>DIMENSIÓN AMBIENTE NATURAL</t>
  </si>
  <si>
    <t>DIMENSIÓN AMBIENTE CONSTRUIDO</t>
  </si>
  <si>
    <t>DIMENSIÓN POLÍTICO-ADMINISTRATIVA</t>
  </si>
  <si>
    <t>DIMENSIÓN</t>
  </si>
  <si>
    <t>TOTAL INVERSIÓN POR DIMENSIÓN ESTRATÉGICA</t>
  </si>
  <si>
    <t>Fortalecer y dinamizar la Junta Municipal de Educación JUME durante el cuatrienio.</t>
  </si>
  <si>
    <t>Asegurar el trasporte al 60% de los estudiantes de las sedes oficiales en edad escolar del área rural y urbana</t>
  </si>
  <si>
    <t>Mantener la cobertura actual en educación en el municipio durante el cuatrienio.</t>
  </si>
  <si>
    <t>Reducir la tasa de mortalidad infantil a 20 por cada mil</t>
  </si>
  <si>
    <t>Reducir al 2% los embarazos en adolescentes</t>
  </si>
  <si>
    <t>Depurar y actualizar la base de datos del SISBEN</t>
  </si>
  <si>
    <t>Mantener el servicio de atención en salud las 24 Horas en la ESE</t>
  </si>
  <si>
    <t>Hacer un (1) estudio de viabilidad financiera de la ESE durante el período de gobierno.</t>
  </si>
  <si>
    <t>Actualizar el Sistema de Información en salud de la ESE.</t>
  </si>
  <si>
    <t>Construir una (1) infraestructura que cumpla con los requisitos para habilitar el servicio de la ESE al finalizar el cuatrienio.</t>
  </si>
  <si>
    <t>Desarrollar (1) programa de  Salud Sexual y Reproductiva para Adultos en el casco urbano y rural durante los cuatro años.</t>
  </si>
  <si>
    <t>Desarrollar 40 mejoramientos de vivienda de interés social-SISBEN estratos 1 y 2 anualmente</t>
  </si>
  <si>
    <t>Terminar 5 programas de vivienda al final del cuatrienio.</t>
  </si>
  <si>
    <t>Incluir a 600 personas para que accedan a las escuelas de formación artística.</t>
  </si>
  <si>
    <t>Apoyar a 8 artistas o grupos culturales destacados del municipio por año.</t>
  </si>
  <si>
    <t>Mantener el número de personas que participan en las escuelas de formación deportiva durante el cuatrienio.</t>
  </si>
  <si>
    <r>
      <t xml:space="preserve">Fortalecer </t>
    </r>
    <r>
      <rPr>
        <b/>
        <sz val="10"/>
        <color indexed="11"/>
        <rFont val="Arial"/>
        <family val="2"/>
      </rPr>
      <t>20</t>
    </r>
    <r>
      <rPr>
        <sz val="10"/>
        <color indexed="8"/>
        <rFont val="Arial"/>
        <family val="2"/>
      </rPr>
      <t xml:space="preserve"> escuelas de formación deportiva del municipio durante el cuatrienio.</t>
    </r>
  </si>
  <si>
    <t>Apoyar a diez (10) delegaciones deportivas del municipio por año</t>
  </si>
  <si>
    <t>Implementar el 100% del plan de abandono del  relleno sanitario de Nobsa durante el cuatrienio.</t>
  </si>
  <si>
    <t>Plan departamental de Aguas</t>
  </si>
  <si>
    <t>Ampliar el servicio de alumbrado público del municipio al 98% al terminar el período de gobierno.</t>
  </si>
  <si>
    <t>Ampliar la red de servicio de alumbrado público del municipio en 1.000 ml durante el período de gobierno.</t>
  </si>
  <si>
    <t>Promover la creación de 2 nuevos proyectos de alojamiento.</t>
  </si>
  <si>
    <t>Finalizar y adecuar el 100% de la ciudadela artesanal al finalizar el cuatrienio.</t>
  </si>
  <si>
    <t>Crear un (1) programa de certificación en competencias laborales en convenio con el SENA durante el período de gobierno.</t>
  </si>
  <si>
    <t>Hacer 5 pozos profundos en el municipio durante el cuatrienio.</t>
  </si>
  <si>
    <t>Hacer un (1) sistema de riego comunitario durante el cuatrienio.</t>
  </si>
  <si>
    <t>Hacer un (1) programa para el uso racional del agua en las prácticas agrícolas en convenio con el SENA o entidades  relacionadas con el sector.</t>
  </si>
  <si>
    <t>Proporcionar 40 créditos en convenio con FINAGRO y otras entidades financieras durante el cuatrienio</t>
  </si>
  <si>
    <t>Capacitar en Buenas prácticas agropecuarias (BPA) y suministro de especies menores y plántulas a 100 familias campesinas al terminar el cuatrienio.</t>
  </si>
  <si>
    <t>Crear e implementar un (1) programa de mejoramiento genético para bovinos y ovinos.</t>
  </si>
  <si>
    <t>Implementar un (1) programa de huertas caseras en el municipio durante el cuatrienio.</t>
  </si>
  <si>
    <t>Reducir a 10.5 t/a de material particulado el índice de contaminación ambiental del municipio al final del cuatrienio</t>
  </si>
  <si>
    <t>Desarrollar un convenio interinstitucional entre la alcaldía municipal y autoridades ambientales para hacer control y seguimiento.</t>
  </si>
  <si>
    <t>Gestionar un (1) convenio de cooperación, Nobsa- Universidad para hacer del municipio un laboratorio ambiental</t>
  </si>
  <si>
    <t>Recuperar y proteger 30 hectáreas de suelo degradadas en zonas de explotación minera</t>
  </si>
  <si>
    <t>Adquisición de 10 hectáreas para siembra y conservación de bosques.</t>
  </si>
  <si>
    <t>Monitorear y hacer mantenimiento al 30% de las cuencas y micro cuencas hidrográficas de la jurisdicción del municipio.</t>
  </si>
  <si>
    <t>Hacer mantenimiento al 20% de la red vial pavimentada al terminar el cuatrienio.</t>
  </si>
  <si>
    <t xml:space="preserve">Terminar y habilitar 250 ML doble calzada vía Nobsa-Sogamoso sector Siatame </t>
  </si>
  <si>
    <t xml:space="preserve">Terminar y habilitar 350 ml de vía barrio Nazareth-Sogamoso (puente tierra) </t>
  </si>
  <si>
    <t>Desarrollar un (1) programa de capacitación a los líderes comunales y sociales</t>
  </si>
  <si>
    <t>Incrementar a 50 el número de usuarios de internet por cada 100 habitantes al final del cuatrienio. (60%).</t>
  </si>
  <si>
    <t>Capacitar y certificar a 200 habitantes del municipio en el uso de las TIC y ofimática al terminar el cuatrienio.</t>
  </si>
  <si>
    <r>
      <t xml:space="preserve">Realizar una campaña de sensibilización durante el período </t>
    </r>
    <r>
      <rPr>
        <sz val="10"/>
        <color indexed="8"/>
        <rFont val="Arial"/>
        <family val="2"/>
      </rPr>
      <t>sobre manejo de residuos electrónicos de equipos de cómputo</t>
    </r>
    <r>
      <rPr>
        <sz val="10"/>
        <color indexed="8"/>
        <rFont val="Arial"/>
        <family val="2"/>
      </rPr>
      <t>.</t>
    </r>
  </si>
  <si>
    <t>Realizar 2 dotaciones de mobiliario a la casa de gobierno y sus diferentes dependencias durante el cuatrienio</t>
  </si>
  <si>
    <t>Realizar 2 mantenimientos en el cuatrienio a la maquinaria, vehículos de movilización y equipos de oficina que figuran a cargo del municipio.</t>
  </si>
  <si>
    <t>Definir e implementar un (1) programa para prevenir el trabajo infantil, la violencia contra los niños, niñas y adolescentes y los delitos sexuales contra menores.</t>
  </si>
  <si>
    <t>Prevención y atención de desastres</t>
  </si>
  <si>
    <t>Seguridad y convivencia (Fondo Seguridad)</t>
  </si>
  <si>
    <t>Construir un (1) museo municipal durante el cuatrienio.</t>
  </si>
  <si>
    <t>Crear un (1) programa de capacitación con el SENA para nuevos empresarios emprendedores.</t>
  </si>
  <si>
    <t>COFINANCIACIÓN</t>
  </si>
  <si>
    <t>TOTAL INGRESOS TRIBUTARIOS</t>
  </si>
  <si>
    <t>TOTAL INGRESOS NO TRIBUTARIOS</t>
  </si>
  <si>
    <t>TOTAL TRANSFERENCIAS</t>
  </si>
  <si>
    <t>TOTAL FONDOS ESPECIALES</t>
  </si>
  <si>
    <t>TOTAL COFINANCIACIONES</t>
  </si>
  <si>
    <t>PROGRAMA ESTRATEGICO DPA 5 NOBSA DIGITAL</t>
  </si>
  <si>
    <t>Gestionar la construcción de un (1) parque temático para la vid, mueble rústico, la forja y la campana.</t>
  </si>
  <si>
    <t>Fortalecer la asociatividad solidaria como instrumento de competitividad</t>
  </si>
  <si>
    <t>Instalar 3 nuevas cámaras del sistema de vigilancia del municipio en el casco urbano durante el período de gobierno.</t>
  </si>
  <si>
    <t>Legalizar predios en el municipio.</t>
  </si>
  <si>
    <t>Construir 1.900 ml de ciclo ruta al terminar el cuatrienio.</t>
  </si>
  <si>
    <t>Beneficiar con Kit escolar, al  60% estudiantes  de colegios oficiales del municipio en básica primaria 1 vez al año</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</si>
</sst>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0.00\ _€"/>
    <numFmt numFmtId="166" formatCode="#,##0\ _€"/>
    <numFmt numFmtId="167" formatCode="#,##0.0"/>
    <numFmt numFmtId="168" formatCode="_(* #,##0_);_(* \(#,##0\);_(* &quot;-&quot;??_);_(@_)"/>
  </numFmts>
  <fonts count="78">
    <font>
      <sz val="11"/>
      <color theme="1"/>
      <name val="Calibri"/>
      <family val="2"/>
    </font>
    <font>
      <sz val="11"/>
      <color indexed="8"/>
      <name val="Calibri"/>
      <family val="2"/>
    </font>
    <font>
      <sz val="9"/>
      <name val="Tahoma"/>
      <family val="2"/>
    </font>
    <font>
      <b/>
      <sz val="9"/>
      <name val="Tahoma"/>
      <family val="2"/>
    </font>
    <font>
      <sz val="10"/>
      <name val="Arial"/>
      <family val="2"/>
    </font>
    <font>
      <sz val="10"/>
      <color indexed="8"/>
      <name val="Arial"/>
      <family val="2"/>
    </font>
    <font>
      <b/>
      <sz val="14"/>
      <name val="Tahoma"/>
      <family val="2"/>
    </font>
    <font>
      <b/>
      <sz val="12"/>
      <name val="Tahoma"/>
      <family val="2"/>
    </font>
    <font>
      <sz val="12"/>
      <color indexed="8"/>
      <name val="Arial"/>
      <family val="2"/>
    </font>
    <font>
      <sz val="9"/>
      <color indexed="8"/>
      <name val="Arial"/>
      <family val="2"/>
    </font>
    <font>
      <b/>
      <sz val="12"/>
      <color indexed="8"/>
      <name val="Arial"/>
      <family val="2"/>
    </font>
    <font>
      <sz val="8"/>
      <color indexed="8"/>
      <name val="Arial"/>
      <family val="2"/>
    </font>
    <font>
      <b/>
      <sz val="8"/>
      <color indexed="8"/>
      <name val="Arial"/>
      <family val="2"/>
    </font>
    <font>
      <sz val="8"/>
      <color indexed="10"/>
      <name val="Arial"/>
      <family val="2"/>
    </font>
    <font>
      <b/>
      <sz val="10"/>
      <color indexed="8"/>
      <name val="Arial"/>
      <family val="2"/>
    </font>
    <font>
      <b/>
      <sz val="14"/>
      <color indexed="9"/>
      <name val="Arial"/>
      <family val="2"/>
    </font>
    <font>
      <b/>
      <sz val="12"/>
      <name val="Arial"/>
      <family val="2"/>
    </font>
    <font>
      <b/>
      <sz val="9"/>
      <color indexed="8"/>
      <name val="Arial"/>
      <family val="2"/>
    </font>
    <font>
      <b/>
      <sz val="10"/>
      <name val="Arial"/>
      <family val="2"/>
    </font>
    <font>
      <b/>
      <sz val="10"/>
      <color indexed="9"/>
      <name val="Arial"/>
      <family val="2"/>
    </font>
    <font>
      <sz val="10"/>
      <color indexed="10"/>
      <name val="Arial"/>
      <family val="2"/>
    </font>
    <font>
      <b/>
      <sz val="12"/>
      <color indexed="9"/>
      <name val="Arial"/>
      <family val="2"/>
    </font>
    <font>
      <b/>
      <sz val="14"/>
      <name val="Arial"/>
      <family val="2"/>
    </font>
    <font>
      <b/>
      <sz val="14"/>
      <color indexed="8"/>
      <name val="Arial"/>
      <family val="2"/>
    </font>
    <font>
      <b/>
      <sz val="8"/>
      <name val="Arial"/>
      <family val="2"/>
    </font>
    <font>
      <b/>
      <sz val="11"/>
      <color indexed="9"/>
      <name val="Calibri"/>
      <family val="2"/>
    </font>
    <font>
      <b/>
      <sz val="10"/>
      <color indexed="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Arial"/>
      <family val="2"/>
    </font>
    <font>
      <b/>
      <sz val="8"/>
      <color theme="1"/>
      <name val="Arial"/>
      <family val="2"/>
    </font>
    <font>
      <b/>
      <sz val="10"/>
      <color theme="1"/>
      <name val="Arial"/>
      <family val="2"/>
    </font>
    <font>
      <sz val="10"/>
      <color rgb="FF000000"/>
      <name val="Arial"/>
      <family val="2"/>
    </font>
    <font>
      <b/>
      <sz val="10"/>
      <color theme="0"/>
      <name val="Arial"/>
      <family val="2"/>
    </font>
    <font>
      <b/>
      <sz val="9"/>
      <color theme="1"/>
      <name val="Arial"/>
      <family val="2"/>
    </font>
    <font>
      <b/>
      <sz val="12"/>
      <color theme="1"/>
      <name val="Arial"/>
      <family val="2"/>
    </font>
    <font>
      <sz val="8"/>
      <color rgb="FFFF0000"/>
      <name val="Arial"/>
      <family val="2"/>
    </font>
    <font>
      <sz val="9"/>
      <color theme="1"/>
      <name val="Arial"/>
      <family val="2"/>
    </font>
    <font>
      <sz val="10"/>
      <color rgb="FFFF0000"/>
      <name val="Arial"/>
      <family val="2"/>
    </font>
    <font>
      <b/>
      <sz val="12"/>
      <color theme="0"/>
      <name val="Arial"/>
      <family val="2"/>
    </font>
    <font>
      <b/>
      <sz val="14"/>
      <color theme="1"/>
      <name val="Arial"/>
      <family val="2"/>
    </font>
    <font>
      <b/>
      <sz val="14"/>
      <color theme="0"/>
      <name val="Arial"/>
      <family val="2"/>
    </font>
    <font>
      <sz val="12"/>
      <color theme="1"/>
      <name val="Arial"/>
      <family val="2"/>
    </font>
    <font>
      <b/>
      <sz val="14"/>
      <color rgb="FF000000"/>
      <name val="Arial"/>
      <family val="2"/>
    </font>
    <font>
      <b/>
      <sz val="10"/>
      <color rgb="FF000000"/>
      <name val="Arial"/>
      <family val="2"/>
    </font>
    <font>
      <b/>
      <sz val="12"/>
      <color rgb="FF000000"/>
      <name val="Arial"/>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1" tint="0.24998000264167786"/>
        <bgColor indexed="64"/>
      </patternFill>
    </fill>
    <fill>
      <patternFill patternType="solid">
        <fgColor rgb="FF66FFFF"/>
        <bgColor indexed="64"/>
      </patternFill>
    </fill>
    <fill>
      <patternFill patternType="solid">
        <fgColor theme="9" tint="-0.24997000396251678"/>
        <bgColor indexed="64"/>
      </patternFill>
    </fill>
    <fill>
      <patternFill patternType="solid">
        <fgColor rgb="FFFF0000"/>
        <bgColor indexed="64"/>
      </patternFill>
    </fill>
    <fill>
      <patternFill patternType="solid">
        <fgColor rgb="FFFFC000"/>
        <bgColor indexed="64"/>
      </patternFill>
    </fill>
    <fill>
      <patternFill patternType="solid">
        <fgColor theme="3" tint="0.39998000860214233"/>
        <bgColor indexed="64"/>
      </patternFill>
    </fill>
    <fill>
      <patternFill patternType="solid">
        <fgColor rgb="FF00B050"/>
        <bgColor indexed="64"/>
      </patternFill>
    </fill>
    <fill>
      <patternFill patternType="solid">
        <fgColor theme="0" tint="-0.3499799966812134"/>
        <bgColor indexed="64"/>
      </patternFill>
    </fill>
    <fill>
      <patternFill patternType="solid">
        <fgColor theme="7" tint="-0.24997000396251678"/>
        <bgColor indexed="64"/>
      </patternFill>
    </fill>
    <fill>
      <patternFill patternType="solid">
        <fgColor theme="1" tint="0.15000000596046448"/>
        <bgColor indexed="64"/>
      </patternFill>
    </fill>
    <fill>
      <patternFill patternType="solid">
        <fgColor rgb="FF1C8C6F"/>
        <bgColor indexed="64"/>
      </patternFill>
    </fill>
    <fill>
      <patternFill patternType="solid">
        <fgColor rgb="FFFFFF99"/>
        <bgColor indexed="64"/>
      </patternFill>
    </fill>
    <fill>
      <patternFill patternType="solid">
        <fgColor rgb="FF66FF6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B1A0C7"/>
        <bgColor indexed="64"/>
      </patternFill>
    </fill>
    <fill>
      <patternFill patternType="solid">
        <fgColor rgb="FF60497A"/>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medium"/>
      <top/>
      <bottom style="thin"/>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top style="thin"/>
      <bottom style="thin"/>
    </border>
    <border>
      <left style="medium"/>
      <right style="thin"/>
      <top style="thin"/>
      <bottom style="thin"/>
    </border>
    <border>
      <left/>
      <right style="medium"/>
      <top/>
      <bottom style="thin"/>
    </border>
    <border>
      <left/>
      <right style="medium"/>
      <top style="thin"/>
      <bottom style="medium"/>
    </border>
    <border>
      <left/>
      <right style="medium"/>
      <top style="medium"/>
      <bottom style="thin"/>
    </border>
    <border>
      <left/>
      <right style="medium"/>
      <top style="thin"/>
      <bottom style="thin"/>
    </border>
    <border>
      <left style="medium"/>
      <right style="medium"/>
      <top style="medium"/>
      <bottom style="medium"/>
    </border>
    <border>
      <left/>
      <right style="medium"/>
      <top style="medium"/>
      <bottom style="medium"/>
    </border>
    <border>
      <left/>
      <right style="medium"/>
      <top/>
      <bottom style="medium"/>
    </border>
    <border>
      <left style="thin"/>
      <right style="thin"/>
      <top/>
      <bottom/>
    </border>
    <border>
      <left style="thin"/>
      <right style="medium"/>
      <top/>
      <bottom/>
    </border>
    <border>
      <left/>
      <right style="thin"/>
      <top style="thin"/>
      <bottom/>
    </border>
    <border>
      <left style="thin"/>
      <right/>
      <top style="thin"/>
      <bottom/>
    </border>
    <border>
      <left style="medium"/>
      <right style="thin"/>
      <top style="thin"/>
      <bottom/>
    </border>
    <border>
      <left style="medium"/>
      <right style="thin"/>
      <top/>
      <bottom style="thin"/>
    </border>
    <border>
      <left style="medium"/>
      <right style="thin"/>
      <top/>
      <bottom/>
    </border>
    <border>
      <left style="medium"/>
      <right style="medium"/>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medium"/>
      <top/>
      <bottom style="thin"/>
    </border>
    <border>
      <left/>
      <right style="thin"/>
      <top/>
      <bottom style="thin"/>
    </border>
    <border>
      <left style="medium"/>
      <right style="medium"/>
      <top style="thin"/>
      <bottom/>
    </border>
    <border>
      <left/>
      <right style="thin"/>
      <top/>
      <bottom/>
    </border>
    <border>
      <left style="thin"/>
      <right/>
      <top/>
      <bottom style="thin"/>
    </border>
    <border>
      <left/>
      <right style="medium"/>
      <top style="thin"/>
      <bottom/>
    </border>
    <border>
      <left/>
      <right/>
      <top/>
      <bottom style="thin">
        <color theme="0"/>
      </botto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medium"/>
      <right style="thin">
        <color indexed="8"/>
      </right>
      <top style="thin">
        <color indexed="8"/>
      </top>
      <bottom style="thin">
        <color indexed="8"/>
      </bottom>
    </border>
    <border>
      <left/>
      <right/>
      <top/>
      <bottom style="medium"/>
    </border>
    <border>
      <left/>
      <right style="thin"/>
      <top/>
      <bottom style="medium"/>
    </border>
    <border>
      <left style="thin"/>
      <right style="thin"/>
      <top/>
      <bottom style="medium"/>
    </border>
    <border>
      <left style="medium"/>
      <right style="medium"/>
      <top style="medium"/>
      <bottom/>
    </border>
    <border>
      <left/>
      <right style="medium"/>
      <top/>
      <bottom/>
    </border>
    <border>
      <left style="medium"/>
      <right/>
      <top/>
      <bottom style="medium"/>
    </border>
    <border>
      <left style="medium"/>
      <right style="medium"/>
      <top/>
      <bottom style="medium"/>
    </border>
    <border>
      <left/>
      <right/>
      <top/>
      <bottom style="thin"/>
    </border>
    <border>
      <left/>
      <right style="medium"/>
      <top style="medium"/>
      <bottom/>
    </border>
    <border>
      <left/>
      <right style="medium"/>
      <top style="medium"/>
      <bottom style="thin">
        <color indexed="8"/>
      </bottom>
    </border>
    <border>
      <left style="medium"/>
      <right style="thin"/>
      <top style="medium"/>
      <bottom style="mediu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border>
    <border>
      <left style="thin"/>
      <right/>
      <top/>
      <bottom/>
    </border>
    <border>
      <left style="thin"/>
      <right/>
      <top style="thin"/>
      <bottom style="medium"/>
    </border>
    <border>
      <left style="medium"/>
      <right style="medium"/>
      <top/>
      <bottom/>
    </border>
    <border>
      <left style="medium"/>
      <right/>
      <top/>
      <bottom/>
    </border>
    <border>
      <left style="medium"/>
      <right/>
      <top style="medium"/>
      <bottom/>
    </border>
    <border>
      <left/>
      <right/>
      <top style="medium"/>
      <bottom style="medium"/>
    </border>
    <border>
      <left style="thin"/>
      <right/>
      <top style="medium"/>
      <bottom style="medium"/>
    </border>
    <border>
      <left style="thin"/>
      <right/>
      <top/>
      <bottom style="medium"/>
    </border>
    <border>
      <left/>
      <right style="thin"/>
      <top style="medium"/>
      <bottom/>
    </border>
    <border>
      <left style="thin"/>
      <right/>
      <top style="medium"/>
      <bottom/>
    </border>
    <border>
      <left/>
      <right/>
      <top style="medium"/>
      <bottom/>
    </border>
    <border>
      <left/>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bottom/>
    </border>
    <border>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top style="medium"/>
      <bottom style="thin"/>
    </border>
    <border>
      <left style="medium"/>
      <right/>
      <top style="medium"/>
      <bottom style="medium"/>
    </border>
    <border>
      <left style="medium"/>
      <right/>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top style="medium"/>
      <bottom style="thin"/>
    </border>
    <border>
      <left style="thick">
        <color rgb="FFFFFFFF"/>
      </left>
      <right/>
      <top/>
      <bottom style="medium"/>
    </border>
    <border>
      <left style="thick">
        <color rgb="FFFFFFFF"/>
      </left>
      <right/>
      <top/>
      <bottom/>
    </border>
    <border>
      <left/>
      <right/>
      <top style="thin">
        <color theme="0"/>
      </top>
      <bottom/>
    </border>
    <border>
      <left style="thin">
        <color theme="0"/>
      </left>
      <right/>
      <top style="thin">
        <color theme="0"/>
      </top>
      <bottom/>
    </border>
    <border>
      <left/>
      <right style="thin">
        <color theme="0"/>
      </right>
      <top style="thin">
        <color theme="0"/>
      </top>
      <bottom/>
    </border>
    <border>
      <left style="thin">
        <color theme="0"/>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873">
    <xf numFmtId="0" fontId="0" fillId="0" borderId="0" xfId="0" applyFont="1" applyAlignment="1">
      <alignment/>
    </xf>
    <xf numFmtId="0" fontId="59" fillId="0" borderId="0" xfId="0" applyFont="1" applyAlignment="1">
      <alignment/>
    </xf>
    <xf numFmtId="0" fontId="60" fillId="0" borderId="0" xfId="0" applyFont="1" applyAlignment="1">
      <alignment horizontal="left" vertical="center"/>
    </xf>
    <xf numFmtId="0" fontId="60" fillId="0" borderId="0" xfId="0" applyFont="1" applyAlignment="1">
      <alignment horizontal="center" vertical="center" wrapText="1"/>
    </xf>
    <xf numFmtId="165" fontId="60" fillId="0" borderId="0" xfId="0" applyNumberFormat="1" applyFont="1" applyAlignment="1">
      <alignment/>
    </xf>
    <xf numFmtId="0" fontId="60" fillId="0" borderId="0" xfId="0" applyFont="1" applyAlignment="1">
      <alignment/>
    </xf>
    <xf numFmtId="0" fontId="61" fillId="0" borderId="0" xfId="0" applyFont="1" applyAlignment="1">
      <alignment/>
    </xf>
    <xf numFmtId="0" fontId="60" fillId="0" borderId="0" xfId="0" applyFont="1" applyAlignment="1">
      <alignment vertical="center"/>
    </xf>
    <xf numFmtId="166" fontId="59" fillId="0" borderId="10" xfId="0" applyNumberFormat="1" applyFont="1" applyBorder="1" applyAlignment="1">
      <alignment horizontal="right" vertical="center"/>
    </xf>
    <xf numFmtId="166" fontId="59" fillId="0" borderId="11" xfId="0" applyNumberFormat="1" applyFont="1" applyBorder="1" applyAlignment="1">
      <alignment horizontal="right" vertical="center"/>
    </xf>
    <xf numFmtId="166" fontId="59" fillId="0" borderId="12" xfId="0" applyNumberFormat="1" applyFont="1" applyBorder="1" applyAlignment="1">
      <alignment horizontal="right" vertical="center"/>
    </xf>
    <xf numFmtId="166" fontId="59" fillId="0" borderId="13" xfId="0" applyNumberFormat="1" applyFont="1" applyBorder="1" applyAlignment="1">
      <alignment horizontal="right" vertical="center"/>
    </xf>
    <xf numFmtId="166" fontId="59" fillId="0" borderId="14" xfId="0" applyNumberFormat="1" applyFont="1" applyBorder="1" applyAlignment="1">
      <alignment horizontal="right" vertical="center"/>
    </xf>
    <xf numFmtId="166" fontId="59" fillId="0" borderId="15" xfId="0" applyNumberFormat="1" applyFont="1" applyBorder="1" applyAlignment="1">
      <alignment horizontal="right" vertical="center"/>
    </xf>
    <xf numFmtId="166" fontId="59" fillId="0" borderId="16" xfId="0" applyNumberFormat="1" applyFont="1" applyBorder="1" applyAlignment="1">
      <alignment horizontal="right" vertical="center"/>
    </xf>
    <xf numFmtId="166" fontId="59" fillId="0" borderId="17" xfId="0" applyNumberFormat="1" applyFont="1" applyBorder="1" applyAlignment="1">
      <alignment horizontal="right" vertical="center"/>
    </xf>
    <xf numFmtId="166" fontId="59" fillId="0" borderId="18" xfId="0" applyNumberFormat="1" applyFont="1" applyBorder="1" applyAlignment="1">
      <alignment horizontal="right" vertical="center"/>
    </xf>
    <xf numFmtId="0" fontId="59" fillId="0" borderId="0" xfId="0" applyFont="1" applyAlignment="1">
      <alignment horizontal="left" indent="1"/>
    </xf>
    <xf numFmtId="0" fontId="62" fillId="0" borderId="0" xfId="0" applyFont="1" applyAlignment="1">
      <alignment/>
    </xf>
    <xf numFmtId="3" fontId="62" fillId="0" borderId="0" xfId="0" applyNumberFormat="1" applyFont="1" applyAlignment="1">
      <alignment vertical="center"/>
    </xf>
    <xf numFmtId="0" fontId="60" fillId="0" borderId="0" xfId="0" applyFont="1" applyAlignment="1">
      <alignment horizontal="left" vertical="center" indent="1"/>
    </xf>
    <xf numFmtId="3" fontId="60" fillId="0" borderId="0" xfId="0" applyNumberFormat="1" applyFont="1" applyAlignment="1">
      <alignment vertical="center"/>
    </xf>
    <xf numFmtId="3" fontId="60" fillId="0" borderId="0" xfId="0" applyNumberFormat="1" applyFont="1" applyAlignment="1">
      <alignment/>
    </xf>
    <xf numFmtId="0" fontId="62" fillId="0" borderId="0" xfId="0" applyFont="1" applyAlignment="1">
      <alignment horizontal="left" vertical="center"/>
    </xf>
    <xf numFmtId="3" fontId="61" fillId="0" borderId="0" xfId="0" applyNumberFormat="1" applyFont="1" applyAlignment="1">
      <alignment vertical="center"/>
    </xf>
    <xf numFmtId="0" fontId="62" fillId="0" borderId="0" xfId="0" applyFont="1" applyAlignment="1">
      <alignment vertical="center"/>
    </xf>
    <xf numFmtId="0" fontId="61" fillId="0" borderId="0" xfId="0" applyFont="1" applyAlignment="1">
      <alignment horizontal="left" vertical="center" indent="1"/>
    </xf>
    <xf numFmtId="0" fontId="4" fillId="0" borderId="19" xfId="0" applyFont="1" applyFill="1" applyBorder="1" applyAlignment="1">
      <alignment horizontal="justify" vertical="center" wrapText="1"/>
    </xf>
    <xf numFmtId="166" fontId="59" fillId="0" borderId="0" xfId="0" applyNumberFormat="1" applyFont="1" applyBorder="1" applyAlignment="1">
      <alignment horizontal="right" vertical="center"/>
    </xf>
    <xf numFmtId="0" fontId="4" fillId="0" borderId="20" xfId="0" applyFont="1" applyFill="1" applyBorder="1" applyAlignment="1">
      <alignment horizontal="justify" vertical="center" wrapText="1"/>
    </xf>
    <xf numFmtId="0" fontId="59" fillId="0" borderId="21" xfId="0" applyFont="1" applyBorder="1" applyAlignment="1">
      <alignment horizontal="justify" vertical="center" wrapText="1"/>
    </xf>
    <xf numFmtId="0" fontId="59" fillId="0" borderId="22" xfId="0" applyFont="1" applyBorder="1" applyAlignment="1">
      <alignment horizontal="justify" vertical="center" wrapText="1"/>
    </xf>
    <xf numFmtId="0" fontId="59" fillId="0" borderId="20" xfId="0" applyFont="1" applyBorder="1" applyAlignment="1">
      <alignment horizontal="justify" vertical="center" wrapText="1"/>
    </xf>
    <xf numFmtId="0" fontId="59" fillId="0" borderId="23" xfId="0" applyFont="1" applyBorder="1" applyAlignment="1">
      <alignment horizontal="left" vertical="center"/>
    </xf>
    <xf numFmtId="0" fontId="59" fillId="0" borderId="24" xfId="0" applyFont="1" applyBorder="1" applyAlignment="1">
      <alignment horizontal="justify" vertical="center" wrapText="1"/>
    </xf>
    <xf numFmtId="0" fontId="59" fillId="0" borderId="19" xfId="0" applyFont="1" applyBorder="1" applyAlignment="1">
      <alignment horizontal="justify" vertical="center" wrapText="1"/>
    </xf>
    <xf numFmtId="166" fontId="59" fillId="0" borderId="13" xfId="0" applyNumberFormat="1" applyFont="1" applyFill="1" applyBorder="1" applyAlignment="1">
      <alignment horizontal="right" vertical="center"/>
    </xf>
    <xf numFmtId="166" fontId="59" fillId="0" borderId="14" xfId="0" applyNumberFormat="1" applyFont="1" applyFill="1" applyBorder="1" applyAlignment="1">
      <alignment horizontal="right" vertical="center"/>
    </xf>
    <xf numFmtId="166" fontId="59" fillId="0" borderId="12" xfId="0" applyNumberFormat="1" applyFont="1" applyFill="1" applyBorder="1" applyAlignment="1">
      <alignment horizontal="right" vertical="center"/>
    </xf>
    <xf numFmtId="166" fontId="59" fillId="0" borderId="18" xfId="0" applyNumberFormat="1" applyFont="1" applyFill="1" applyBorder="1" applyAlignment="1">
      <alignment horizontal="right" vertical="center"/>
    </xf>
    <xf numFmtId="0" fontId="59" fillId="0" borderId="25" xfId="0" applyFont="1" applyBorder="1" applyAlignment="1">
      <alignment horizontal="justify" vertical="center" wrapText="1"/>
    </xf>
    <xf numFmtId="166" fontId="59" fillId="0" borderId="26" xfId="0" applyNumberFormat="1" applyFont="1" applyBorder="1" applyAlignment="1">
      <alignment horizontal="right" vertical="center"/>
    </xf>
    <xf numFmtId="166" fontId="59" fillId="0" borderId="27" xfId="0" applyNumberFormat="1" applyFont="1" applyBorder="1" applyAlignment="1">
      <alignment horizontal="right" vertical="center"/>
    </xf>
    <xf numFmtId="166" fontId="59" fillId="0" borderId="28" xfId="0" applyNumberFormat="1" applyFont="1" applyBorder="1" applyAlignment="1">
      <alignment horizontal="right" vertical="center"/>
    </xf>
    <xf numFmtId="166" fontId="59" fillId="0" borderId="29" xfId="0" applyNumberFormat="1" applyFont="1" applyBorder="1" applyAlignment="1">
      <alignment horizontal="right" vertical="center"/>
    </xf>
    <xf numFmtId="166" fontId="59" fillId="0" borderId="30" xfId="0" applyNumberFormat="1" applyFont="1" applyBorder="1" applyAlignment="1">
      <alignment horizontal="right" vertical="center"/>
    </xf>
    <xf numFmtId="0" fontId="60" fillId="0" borderId="0" xfId="0" applyFont="1" applyAlignment="1">
      <alignment horizontal="left" indent="1"/>
    </xf>
    <xf numFmtId="3" fontId="59" fillId="0" borderId="0" xfId="0" applyNumberFormat="1" applyFont="1" applyAlignment="1">
      <alignment/>
    </xf>
    <xf numFmtId="0" fontId="60" fillId="0" borderId="0" xfId="0" applyFont="1" applyAlignment="1">
      <alignment horizontal="left" vertical="center" indent="2"/>
    </xf>
    <xf numFmtId="3" fontId="61" fillId="0" borderId="0" xfId="0" applyNumberFormat="1" applyFont="1" applyFill="1" applyAlignment="1">
      <alignment vertical="center"/>
    </xf>
    <xf numFmtId="166" fontId="59" fillId="0" borderId="31" xfId="0" applyNumberFormat="1" applyFont="1" applyFill="1" applyBorder="1" applyAlignment="1">
      <alignment horizontal="right" vertical="center"/>
    </xf>
    <xf numFmtId="166" fontId="59" fillId="0" borderId="30" xfId="0" applyNumberFormat="1" applyFont="1" applyFill="1" applyBorder="1" applyAlignment="1">
      <alignment horizontal="right" vertical="center"/>
    </xf>
    <xf numFmtId="166" fontId="59" fillId="0" borderId="32" xfId="0" applyNumberFormat="1" applyFont="1" applyFill="1" applyBorder="1" applyAlignment="1">
      <alignment horizontal="right" vertical="center"/>
    </xf>
    <xf numFmtId="0" fontId="59" fillId="0" borderId="33" xfId="0" applyFont="1" applyFill="1" applyBorder="1" applyAlignment="1">
      <alignment horizontal="justify" vertical="center" wrapText="1"/>
    </xf>
    <xf numFmtId="0" fontId="59" fillId="0" borderId="34" xfId="0" applyFont="1" applyFill="1" applyBorder="1" applyAlignment="1">
      <alignment horizontal="justify" vertical="center" wrapText="1"/>
    </xf>
    <xf numFmtId="166" fontId="59" fillId="0" borderId="35" xfId="0" applyNumberFormat="1" applyFont="1" applyBorder="1" applyAlignment="1">
      <alignment horizontal="right" vertical="center"/>
    </xf>
    <xf numFmtId="166" fontId="59" fillId="0" borderId="22" xfId="0" applyNumberFormat="1" applyFont="1" applyBorder="1" applyAlignment="1">
      <alignment horizontal="right" vertical="center"/>
    </xf>
    <xf numFmtId="166" fontId="59" fillId="0" borderId="36" xfId="0" applyNumberFormat="1" applyFont="1" applyFill="1" applyBorder="1" applyAlignment="1">
      <alignment horizontal="right" vertical="center"/>
    </xf>
    <xf numFmtId="0" fontId="59" fillId="0" borderId="33" xfId="0" applyFont="1" applyBorder="1" applyAlignment="1">
      <alignment horizontal="justify" vertical="center" wrapText="1"/>
    </xf>
    <xf numFmtId="165" fontId="59" fillId="0" borderId="13" xfId="0" applyNumberFormat="1" applyFont="1" applyBorder="1" applyAlignment="1">
      <alignment horizontal="right" vertical="center"/>
    </xf>
    <xf numFmtId="165" fontId="59" fillId="0" borderId="14" xfId="0" applyNumberFormat="1" applyFont="1" applyBorder="1" applyAlignment="1">
      <alignment horizontal="right" vertical="center"/>
    </xf>
    <xf numFmtId="165" fontId="59" fillId="0" borderId="12" xfId="0" applyNumberFormat="1" applyFont="1" applyBorder="1" applyAlignment="1">
      <alignment horizontal="right" vertical="center"/>
    </xf>
    <xf numFmtId="0" fontId="59" fillId="0" borderId="37" xfId="0" applyFont="1" applyBorder="1" applyAlignment="1">
      <alignment horizontal="justify" vertical="center" wrapText="1"/>
    </xf>
    <xf numFmtId="0" fontId="59" fillId="0" borderId="34" xfId="0" applyFont="1" applyBorder="1" applyAlignment="1">
      <alignment horizontal="justify" vertical="center" wrapText="1"/>
    </xf>
    <xf numFmtId="0" fontId="59" fillId="0" borderId="22" xfId="0" applyFont="1" applyFill="1" applyBorder="1" applyAlignment="1">
      <alignment horizontal="justify" vertical="center" wrapText="1"/>
    </xf>
    <xf numFmtId="3" fontId="59" fillId="0" borderId="18" xfId="0" applyNumberFormat="1" applyFont="1" applyFill="1" applyBorder="1" applyAlignment="1">
      <alignment horizontal="right" vertical="center"/>
    </xf>
    <xf numFmtId="0" fontId="59" fillId="0" borderId="33" xfId="0" applyFont="1" applyBorder="1" applyAlignment="1">
      <alignment horizontal="justify" vertical="center"/>
    </xf>
    <xf numFmtId="0" fontId="59" fillId="0" borderId="34" xfId="0" applyFont="1" applyBorder="1" applyAlignment="1">
      <alignment horizontal="justify" vertical="center"/>
    </xf>
    <xf numFmtId="0" fontId="59" fillId="0" borderId="37" xfId="0" applyFont="1" applyBorder="1" applyAlignment="1">
      <alignment horizontal="justify" vertical="center"/>
    </xf>
    <xf numFmtId="0" fontId="59" fillId="33" borderId="20" xfId="0" applyFont="1" applyFill="1" applyBorder="1" applyAlignment="1">
      <alignment horizontal="justify" vertical="center" wrapText="1"/>
    </xf>
    <xf numFmtId="166" fontId="59" fillId="33" borderId="13" xfId="0" applyNumberFormat="1" applyFont="1" applyFill="1" applyBorder="1" applyAlignment="1">
      <alignment horizontal="right" vertical="center"/>
    </xf>
    <xf numFmtId="166" fontId="59" fillId="33" borderId="17" xfId="0" applyNumberFormat="1" applyFont="1" applyFill="1" applyBorder="1" applyAlignment="1">
      <alignment horizontal="right" vertical="center"/>
    </xf>
    <xf numFmtId="166" fontId="59" fillId="33" borderId="18" xfId="0" applyNumberFormat="1" applyFont="1" applyFill="1" applyBorder="1" applyAlignment="1">
      <alignment horizontal="right" vertical="center"/>
    </xf>
    <xf numFmtId="0" fontId="59" fillId="0" borderId="23" xfId="0" applyFont="1" applyBorder="1" applyAlignment="1">
      <alignment horizontal="justify" vertical="center"/>
    </xf>
    <xf numFmtId="166" fontId="4" fillId="33" borderId="18" xfId="0" applyNumberFormat="1" applyFont="1" applyFill="1" applyBorder="1" applyAlignment="1">
      <alignment horizontal="right" vertical="center" wrapText="1"/>
    </xf>
    <xf numFmtId="166" fontId="4" fillId="33" borderId="13" xfId="0" applyNumberFormat="1" applyFont="1" applyFill="1" applyBorder="1" applyAlignment="1">
      <alignment horizontal="right" vertical="center" wrapText="1"/>
    </xf>
    <xf numFmtId="166" fontId="4" fillId="33" borderId="14" xfId="0" applyNumberFormat="1" applyFont="1" applyFill="1" applyBorder="1" applyAlignment="1">
      <alignment horizontal="right" vertical="center" wrapText="1"/>
    </xf>
    <xf numFmtId="166" fontId="4" fillId="33" borderId="12" xfId="0" applyNumberFormat="1" applyFont="1" applyFill="1" applyBorder="1" applyAlignment="1">
      <alignment horizontal="right" vertical="center" wrapText="1"/>
    </xf>
    <xf numFmtId="166" fontId="4" fillId="0" borderId="15" xfId="0" applyNumberFormat="1" applyFont="1" applyFill="1" applyBorder="1" applyAlignment="1">
      <alignment horizontal="right" vertical="center"/>
    </xf>
    <xf numFmtId="166" fontId="4" fillId="0" borderId="16" xfId="0" applyNumberFormat="1" applyFont="1" applyFill="1" applyBorder="1" applyAlignment="1">
      <alignment horizontal="right" vertical="center"/>
    </xf>
    <xf numFmtId="166" fontId="4" fillId="0" borderId="28" xfId="0" applyNumberFormat="1" applyFont="1" applyFill="1" applyBorder="1" applyAlignment="1">
      <alignment horizontal="right" vertical="center"/>
    </xf>
    <xf numFmtId="3" fontId="59" fillId="0" borderId="13" xfId="0" applyNumberFormat="1" applyFont="1" applyFill="1" applyBorder="1" applyAlignment="1">
      <alignment horizontal="right" vertical="center"/>
    </xf>
    <xf numFmtId="3" fontId="59" fillId="0" borderId="14" xfId="0" applyNumberFormat="1" applyFont="1" applyFill="1" applyBorder="1" applyAlignment="1">
      <alignment horizontal="right" vertical="center"/>
    </xf>
    <xf numFmtId="3" fontId="59" fillId="0" borderId="12" xfId="0" applyNumberFormat="1" applyFont="1" applyFill="1" applyBorder="1" applyAlignment="1">
      <alignment horizontal="right" vertical="center"/>
    </xf>
    <xf numFmtId="3" fontId="59" fillId="0" borderId="30" xfId="0" applyNumberFormat="1" applyFont="1" applyFill="1" applyBorder="1" applyAlignment="1">
      <alignment horizontal="right" vertical="center"/>
    </xf>
    <xf numFmtId="3" fontId="59" fillId="0" borderId="15" xfId="0" applyNumberFormat="1" applyFont="1" applyFill="1" applyBorder="1" applyAlignment="1">
      <alignment horizontal="right" vertical="center"/>
    </xf>
    <xf numFmtId="3" fontId="59" fillId="0" borderId="16" xfId="0" applyNumberFormat="1" applyFont="1" applyFill="1" applyBorder="1" applyAlignment="1">
      <alignment horizontal="right" vertical="center"/>
    </xf>
    <xf numFmtId="3" fontId="59" fillId="0" borderId="28" xfId="0" applyNumberFormat="1" applyFont="1" applyFill="1" applyBorder="1" applyAlignment="1">
      <alignment horizontal="right" vertical="center"/>
    </xf>
    <xf numFmtId="0" fontId="4" fillId="0" borderId="22" xfId="0" applyFont="1" applyFill="1" applyBorder="1" applyAlignment="1">
      <alignment horizontal="justify" vertical="center" wrapText="1"/>
    </xf>
    <xf numFmtId="3" fontId="59" fillId="0" borderId="36" xfId="0" applyNumberFormat="1" applyFont="1" applyFill="1" applyBorder="1" applyAlignment="1">
      <alignment horizontal="right" vertical="center"/>
    </xf>
    <xf numFmtId="3" fontId="59" fillId="0" borderId="38" xfId="0" applyNumberFormat="1" applyFont="1" applyFill="1" applyBorder="1" applyAlignment="1">
      <alignment horizontal="right" vertical="center"/>
    </xf>
    <xf numFmtId="3" fontId="59" fillId="0" borderId="39" xfId="0" applyNumberFormat="1" applyFont="1" applyFill="1" applyBorder="1" applyAlignment="1">
      <alignment horizontal="right" vertical="center"/>
    </xf>
    <xf numFmtId="3" fontId="59" fillId="0" borderId="40" xfId="0" applyNumberFormat="1" applyFont="1" applyFill="1" applyBorder="1" applyAlignment="1">
      <alignment horizontal="right" vertical="center"/>
    </xf>
    <xf numFmtId="3" fontId="59" fillId="0" borderId="30" xfId="0" applyNumberFormat="1" applyFont="1" applyBorder="1" applyAlignment="1">
      <alignment horizontal="right" vertical="center"/>
    </xf>
    <xf numFmtId="3" fontId="59" fillId="0" borderId="15" xfId="0" applyNumberFormat="1" applyFont="1" applyBorder="1" applyAlignment="1">
      <alignment horizontal="right" vertical="center"/>
    </xf>
    <xf numFmtId="3" fontId="59" fillId="0" borderId="16" xfId="0" applyNumberFormat="1" applyFont="1" applyBorder="1" applyAlignment="1">
      <alignment horizontal="right" vertical="center"/>
    </xf>
    <xf numFmtId="3" fontId="59" fillId="0" borderId="28" xfId="0" applyNumberFormat="1" applyFont="1" applyBorder="1" applyAlignment="1">
      <alignment horizontal="right" vertical="center"/>
    </xf>
    <xf numFmtId="3" fontId="59" fillId="0" borderId="18" xfId="0" applyNumberFormat="1" applyFont="1" applyBorder="1" applyAlignment="1">
      <alignment horizontal="right" vertical="center"/>
    </xf>
    <xf numFmtId="3" fontId="59" fillId="0" borderId="13" xfId="0" applyNumberFormat="1" applyFont="1" applyBorder="1" applyAlignment="1">
      <alignment horizontal="right" vertical="center"/>
    </xf>
    <xf numFmtId="3" fontId="59" fillId="0" borderId="14" xfId="0" applyNumberFormat="1" applyFont="1" applyBorder="1" applyAlignment="1">
      <alignment horizontal="right" vertical="center"/>
    </xf>
    <xf numFmtId="3" fontId="59" fillId="0" borderId="12" xfId="0" applyNumberFormat="1" applyFont="1" applyBorder="1" applyAlignment="1">
      <alignment horizontal="right" vertical="center"/>
    </xf>
    <xf numFmtId="0" fontId="4" fillId="0" borderId="20" xfId="0" applyFont="1" applyBorder="1" applyAlignment="1">
      <alignment horizontal="justify" vertical="center" wrapText="1"/>
    </xf>
    <xf numFmtId="0" fontId="63" fillId="34" borderId="41" xfId="0" applyFont="1" applyFill="1" applyBorder="1" applyAlignment="1">
      <alignment horizontal="justify" vertical="center" wrapText="1"/>
    </xf>
    <xf numFmtId="3" fontId="63" fillId="0" borderId="42" xfId="0" applyNumberFormat="1" applyFont="1" applyFill="1" applyBorder="1" applyAlignment="1">
      <alignment horizontal="right" vertical="center"/>
    </xf>
    <xf numFmtId="3" fontId="63" fillId="0" borderId="10" xfId="0" applyNumberFormat="1" applyFont="1" applyFill="1" applyBorder="1" applyAlignment="1">
      <alignment horizontal="right" vertical="center"/>
    </xf>
    <xf numFmtId="3" fontId="63" fillId="0" borderId="11" xfId="0" applyNumberFormat="1" applyFont="1" applyFill="1" applyBorder="1" applyAlignment="1">
      <alignment horizontal="right" vertical="center"/>
    </xf>
    <xf numFmtId="3" fontId="63" fillId="0" borderId="31" xfId="0" applyNumberFormat="1" applyFont="1" applyFill="1" applyBorder="1" applyAlignment="1">
      <alignment horizontal="right" vertical="center"/>
    </xf>
    <xf numFmtId="0" fontId="63" fillId="34" borderId="34" xfId="0" applyFont="1" applyFill="1" applyBorder="1" applyAlignment="1">
      <alignment horizontal="justify" vertical="center" wrapText="1"/>
    </xf>
    <xf numFmtId="3" fontId="63" fillId="0" borderId="12" xfId="0" applyNumberFormat="1" applyFont="1" applyFill="1" applyBorder="1" applyAlignment="1">
      <alignment horizontal="right" vertical="center"/>
    </xf>
    <xf numFmtId="3" fontId="63" fillId="0" borderId="13" xfId="0" applyNumberFormat="1" applyFont="1" applyFill="1" applyBorder="1" applyAlignment="1">
      <alignment horizontal="right" vertical="center"/>
    </xf>
    <xf numFmtId="3" fontId="63" fillId="0" borderId="14" xfId="0" applyNumberFormat="1" applyFont="1" applyFill="1" applyBorder="1" applyAlignment="1">
      <alignment horizontal="right" vertical="center"/>
    </xf>
    <xf numFmtId="3" fontId="63" fillId="0" borderId="18" xfId="0" applyNumberFormat="1" applyFont="1" applyFill="1" applyBorder="1" applyAlignment="1">
      <alignment horizontal="right" vertical="center"/>
    </xf>
    <xf numFmtId="0" fontId="63" fillId="34" borderId="43" xfId="0" applyFont="1" applyFill="1" applyBorder="1" applyAlignment="1">
      <alignment horizontal="justify" vertical="center" wrapText="1"/>
    </xf>
    <xf numFmtId="3" fontId="63" fillId="0" borderId="28" xfId="0" applyNumberFormat="1" applyFont="1" applyFill="1" applyBorder="1" applyAlignment="1">
      <alignment horizontal="right" vertical="center"/>
    </xf>
    <xf numFmtId="3" fontId="63" fillId="0" borderId="15" xfId="0" applyNumberFormat="1" applyFont="1" applyFill="1" applyBorder="1" applyAlignment="1">
      <alignment horizontal="right" vertical="center"/>
    </xf>
    <xf numFmtId="3" fontId="63" fillId="0" borderId="16" xfId="0" applyNumberFormat="1" applyFont="1" applyFill="1" applyBorder="1" applyAlignment="1">
      <alignment horizontal="right" vertical="center"/>
    </xf>
    <xf numFmtId="3" fontId="63" fillId="0" borderId="30" xfId="0" applyNumberFormat="1" applyFont="1" applyFill="1" applyBorder="1" applyAlignment="1">
      <alignment horizontal="right" vertical="center"/>
    </xf>
    <xf numFmtId="0" fontId="63" fillId="0" borderId="41" xfId="0" applyFont="1" applyFill="1" applyBorder="1" applyAlignment="1">
      <alignment horizontal="justify" vertical="center" wrapText="1"/>
    </xf>
    <xf numFmtId="0" fontId="63" fillId="0" borderId="34" xfId="0" applyFont="1" applyFill="1" applyBorder="1" applyAlignment="1">
      <alignment horizontal="justify" vertical="center" wrapText="1"/>
    </xf>
    <xf numFmtId="0" fontId="63" fillId="0" borderId="43" xfId="0" applyFont="1" applyFill="1" applyBorder="1" applyAlignment="1">
      <alignment horizontal="justify" vertical="center" wrapText="1"/>
    </xf>
    <xf numFmtId="3" fontId="63" fillId="0" borderId="42" xfId="0" applyNumberFormat="1" applyFont="1" applyFill="1" applyBorder="1" applyAlignment="1">
      <alignment horizontal="right" vertical="center" wrapText="1"/>
    </xf>
    <xf numFmtId="3" fontId="63" fillId="0" borderId="10" xfId="0" applyNumberFormat="1" applyFont="1" applyFill="1" applyBorder="1" applyAlignment="1">
      <alignment horizontal="right" vertical="center" wrapText="1"/>
    </xf>
    <xf numFmtId="3" fontId="63" fillId="0" borderId="11" xfId="0" applyNumberFormat="1" applyFont="1" applyFill="1" applyBorder="1" applyAlignment="1">
      <alignment horizontal="right" vertical="center" wrapText="1"/>
    </xf>
    <xf numFmtId="3" fontId="63" fillId="0" borderId="31" xfId="0" applyNumberFormat="1" applyFont="1" applyFill="1" applyBorder="1" applyAlignment="1">
      <alignment horizontal="right" vertical="center" wrapText="1"/>
    </xf>
    <xf numFmtId="3" fontId="63" fillId="0" borderId="28" xfId="0" applyNumberFormat="1" applyFont="1" applyFill="1" applyBorder="1" applyAlignment="1">
      <alignment horizontal="right" vertical="center" wrapText="1"/>
    </xf>
    <xf numFmtId="3" fontId="63" fillId="0" borderId="15" xfId="0" applyNumberFormat="1" applyFont="1" applyFill="1" applyBorder="1" applyAlignment="1">
      <alignment horizontal="right" vertical="center" wrapText="1"/>
    </xf>
    <xf numFmtId="3" fontId="63" fillId="0" borderId="16" xfId="0" applyNumberFormat="1" applyFont="1" applyFill="1" applyBorder="1" applyAlignment="1">
      <alignment horizontal="right" vertical="center" wrapText="1"/>
    </xf>
    <xf numFmtId="3" fontId="63" fillId="0" borderId="30" xfId="0" applyNumberFormat="1" applyFont="1" applyFill="1" applyBorder="1" applyAlignment="1">
      <alignment horizontal="right" vertical="center" wrapText="1"/>
    </xf>
    <xf numFmtId="3" fontId="63" fillId="0" borderId="44" xfId="0" applyNumberFormat="1" applyFont="1" applyFill="1" applyBorder="1" applyAlignment="1">
      <alignment horizontal="right" vertical="center"/>
    </xf>
    <xf numFmtId="3" fontId="63" fillId="0" borderId="26" xfId="0" applyNumberFormat="1" applyFont="1" applyFill="1" applyBorder="1" applyAlignment="1">
      <alignment horizontal="right" vertical="center"/>
    </xf>
    <xf numFmtId="3" fontId="63" fillId="0" borderId="27" xfId="0" applyNumberFormat="1" applyFont="1" applyFill="1" applyBorder="1" applyAlignment="1">
      <alignment horizontal="right" vertical="center"/>
    </xf>
    <xf numFmtId="3" fontId="63" fillId="0" borderId="32" xfId="0" applyNumberFormat="1" applyFont="1" applyFill="1" applyBorder="1" applyAlignment="1">
      <alignment horizontal="right" vertical="center"/>
    </xf>
    <xf numFmtId="3" fontId="63" fillId="0" borderId="45" xfId="0" applyNumberFormat="1" applyFont="1" applyFill="1" applyBorder="1" applyAlignment="1">
      <alignment horizontal="right" vertical="center" wrapText="1"/>
    </xf>
    <xf numFmtId="3" fontId="63" fillId="0" borderId="12" xfId="0" applyNumberFormat="1" applyFont="1" applyFill="1" applyBorder="1" applyAlignment="1">
      <alignment horizontal="right" vertical="center" wrapText="1"/>
    </xf>
    <xf numFmtId="3" fontId="63" fillId="0" borderId="13" xfId="0" applyNumberFormat="1" applyFont="1" applyFill="1" applyBorder="1" applyAlignment="1">
      <alignment horizontal="right" vertical="center" wrapText="1"/>
    </xf>
    <xf numFmtId="3" fontId="63" fillId="0" borderId="14" xfId="0" applyNumberFormat="1" applyFont="1" applyFill="1" applyBorder="1" applyAlignment="1">
      <alignment horizontal="right" vertical="center" wrapText="1"/>
    </xf>
    <xf numFmtId="3" fontId="63" fillId="0" borderId="18" xfId="0" applyNumberFormat="1" applyFont="1" applyFill="1" applyBorder="1" applyAlignment="1">
      <alignment horizontal="right" vertical="center" wrapText="1"/>
    </xf>
    <xf numFmtId="3" fontId="63" fillId="0" borderId="17" xfId="0" applyNumberFormat="1" applyFont="1" applyFill="1" applyBorder="1" applyAlignment="1">
      <alignment horizontal="right" vertical="center" wrapText="1"/>
    </xf>
    <xf numFmtId="0" fontId="63" fillId="0" borderId="37" xfId="0" applyFont="1" applyFill="1" applyBorder="1" applyAlignment="1">
      <alignment horizontal="justify" vertical="center" wrapText="1"/>
    </xf>
    <xf numFmtId="3" fontId="63" fillId="0" borderId="38" xfId="0" applyNumberFormat="1" applyFont="1" applyFill="1" applyBorder="1" applyAlignment="1">
      <alignment horizontal="right" vertical="center" wrapText="1"/>
    </xf>
    <xf numFmtId="3" fontId="63" fillId="0" borderId="29" xfId="0" applyNumberFormat="1" applyFont="1" applyFill="1" applyBorder="1" applyAlignment="1">
      <alignment horizontal="right" vertical="center"/>
    </xf>
    <xf numFmtId="0" fontId="63" fillId="0" borderId="41" xfId="0" applyFont="1" applyFill="1" applyBorder="1" applyAlignment="1">
      <alignment horizontal="justify" wrapText="1"/>
    </xf>
    <xf numFmtId="0" fontId="63" fillId="0" borderId="37" xfId="0" applyFont="1" applyFill="1" applyBorder="1" applyAlignment="1">
      <alignment horizontal="justify" wrapText="1"/>
    </xf>
    <xf numFmtId="0" fontId="63" fillId="0" borderId="19" xfId="0" applyFont="1" applyFill="1" applyBorder="1" applyAlignment="1">
      <alignment horizontal="justify" wrapText="1"/>
    </xf>
    <xf numFmtId="0" fontId="63" fillId="0" borderId="20" xfId="0" applyFont="1" applyFill="1" applyBorder="1" applyAlignment="1">
      <alignment horizontal="justify" wrapText="1"/>
    </xf>
    <xf numFmtId="165" fontId="60" fillId="0" borderId="0" xfId="0" applyNumberFormat="1" applyFont="1" applyFill="1" applyAlignment="1">
      <alignment/>
    </xf>
    <xf numFmtId="165" fontId="60" fillId="0" borderId="0" xfId="0" applyNumberFormat="1" applyFont="1" applyFill="1" applyBorder="1" applyAlignment="1">
      <alignment wrapText="1"/>
    </xf>
    <xf numFmtId="0" fontId="59" fillId="0" borderId="43" xfId="0" applyFont="1" applyBorder="1" applyAlignment="1">
      <alignment horizontal="justify" vertical="center" wrapText="1"/>
    </xf>
    <xf numFmtId="0" fontId="59" fillId="0" borderId="46" xfId="0" applyFont="1" applyBorder="1" applyAlignment="1">
      <alignment horizontal="justify" vertical="center" wrapText="1"/>
    </xf>
    <xf numFmtId="3" fontId="59" fillId="0" borderId="38" xfId="0" applyNumberFormat="1" applyFont="1" applyBorder="1" applyAlignment="1">
      <alignment horizontal="right" vertical="center"/>
    </xf>
    <xf numFmtId="3" fontId="59" fillId="0" borderId="39" xfId="0" applyNumberFormat="1" applyFont="1" applyBorder="1" applyAlignment="1">
      <alignment horizontal="right" vertical="center"/>
    </xf>
    <xf numFmtId="165" fontId="62" fillId="0" borderId="30" xfId="0" applyNumberFormat="1" applyFont="1" applyBorder="1" applyAlignment="1">
      <alignment horizontal="center" vertical="center" wrapText="1"/>
    </xf>
    <xf numFmtId="165" fontId="62" fillId="0" borderId="15" xfId="0" applyNumberFormat="1" applyFont="1" applyBorder="1" applyAlignment="1">
      <alignment horizontal="center" vertical="center" wrapText="1"/>
    </xf>
    <xf numFmtId="165" fontId="62" fillId="0" borderId="16" xfId="0" applyNumberFormat="1" applyFont="1" applyBorder="1" applyAlignment="1">
      <alignment horizontal="center" vertical="center" wrapText="1"/>
    </xf>
    <xf numFmtId="0" fontId="64" fillId="35" borderId="47" xfId="0" applyFont="1" applyFill="1" applyBorder="1" applyAlignment="1">
      <alignment horizontal="center" vertical="center"/>
    </xf>
    <xf numFmtId="3" fontId="64" fillId="35" borderId="47" xfId="0" applyNumberFormat="1" applyFont="1" applyFill="1" applyBorder="1" applyAlignment="1">
      <alignment vertical="center"/>
    </xf>
    <xf numFmtId="165" fontId="62" fillId="36" borderId="48" xfId="0" applyNumberFormat="1" applyFont="1" applyFill="1" applyBorder="1" applyAlignment="1">
      <alignment horizontal="center" vertical="center" wrapText="1"/>
    </xf>
    <xf numFmtId="165" fontId="62" fillId="36" borderId="49" xfId="0" applyNumberFormat="1" applyFont="1" applyFill="1" applyBorder="1" applyAlignment="1">
      <alignment horizontal="center" vertical="center" wrapText="1"/>
    </xf>
    <xf numFmtId="165" fontId="62" fillId="36" borderId="50" xfId="0" applyNumberFormat="1" applyFont="1" applyFill="1" applyBorder="1" applyAlignment="1">
      <alignment horizontal="center" vertical="center" wrapText="1"/>
    </xf>
    <xf numFmtId="3" fontId="65" fillId="36" borderId="51" xfId="0" applyNumberFormat="1" applyFont="1" applyFill="1" applyBorder="1" applyAlignment="1">
      <alignment vertical="center"/>
    </xf>
    <xf numFmtId="167" fontId="59" fillId="0" borderId="0" xfId="0" applyNumberFormat="1" applyFont="1" applyAlignment="1">
      <alignment/>
    </xf>
    <xf numFmtId="0" fontId="59" fillId="0" borderId="25" xfId="0" applyFont="1" applyBorder="1" applyAlignment="1">
      <alignment horizontal="left" vertical="center" wrapText="1"/>
    </xf>
    <xf numFmtId="166" fontId="4" fillId="0" borderId="18" xfId="0" applyNumberFormat="1" applyFont="1" applyFill="1" applyBorder="1" applyAlignment="1">
      <alignment vertical="center"/>
    </xf>
    <xf numFmtId="166" fontId="5" fillId="0" borderId="52" xfId="0" applyNumberFormat="1" applyFont="1" applyFill="1" applyBorder="1" applyAlignment="1">
      <alignment horizontal="right" vertical="center"/>
    </xf>
    <xf numFmtId="0" fontId="59" fillId="0" borderId="53" xfId="0" applyFont="1" applyBorder="1" applyAlignment="1">
      <alignment horizontal="justify" vertical="center" wrapText="1"/>
    </xf>
    <xf numFmtId="166" fontId="59" fillId="0" borderId="32" xfId="0" applyNumberFormat="1" applyFont="1" applyBorder="1" applyAlignment="1">
      <alignment horizontal="right" vertical="center" wrapText="1"/>
    </xf>
    <xf numFmtId="166" fontId="59" fillId="0" borderId="26" xfId="0" applyNumberFormat="1" applyFont="1" applyBorder="1" applyAlignment="1">
      <alignment horizontal="right" vertical="center" wrapText="1"/>
    </xf>
    <xf numFmtId="166" fontId="59" fillId="0" borderId="27" xfId="0" applyNumberFormat="1" applyFont="1" applyBorder="1" applyAlignment="1">
      <alignment horizontal="right" vertical="center" wrapText="1"/>
    </xf>
    <xf numFmtId="166" fontId="59" fillId="0" borderId="44" xfId="0" applyNumberFormat="1" applyFont="1" applyBorder="1" applyAlignment="1">
      <alignment horizontal="right" vertical="center" wrapText="1"/>
    </xf>
    <xf numFmtId="3" fontId="59" fillId="0" borderId="54" xfId="0" applyNumberFormat="1" applyFont="1" applyBorder="1" applyAlignment="1">
      <alignment horizontal="right" vertical="center"/>
    </xf>
    <xf numFmtId="3" fontId="59" fillId="0" borderId="55" xfId="0" applyNumberFormat="1" applyFont="1" applyBorder="1" applyAlignment="1">
      <alignment horizontal="right" vertical="center"/>
    </xf>
    <xf numFmtId="0" fontId="63" fillId="34" borderId="56" xfId="0" applyFont="1" applyFill="1" applyBorder="1" applyAlignment="1">
      <alignment horizontal="justify" vertical="center" wrapText="1"/>
    </xf>
    <xf numFmtId="3" fontId="63" fillId="0" borderId="0" xfId="0" applyNumberFormat="1" applyFont="1" applyFill="1" applyBorder="1" applyAlignment="1">
      <alignment horizontal="right" vertical="center" wrapText="1"/>
    </xf>
    <xf numFmtId="3" fontId="63" fillId="0" borderId="57" xfId="0" applyNumberFormat="1" applyFont="1" applyFill="1" applyBorder="1" applyAlignment="1">
      <alignment horizontal="right" vertical="center" wrapText="1"/>
    </xf>
    <xf numFmtId="0" fontId="63" fillId="34" borderId="22" xfId="0" applyFont="1" applyFill="1" applyBorder="1" applyAlignment="1">
      <alignment horizontal="justify" vertical="center" wrapText="1"/>
    </xf>
    <xf numFmtId="0" fontId="63" fillId="34" borderId="19" xfId="0" applyFont="1" applyFill="1" applyBorder="1" applyAlignment="1">
      <alignment horizontal="justify" vertical="center" wrapText="1"/>
    </xf>
    <xf numFmtId="0" fontId="63" fillId="34" borderId="46" xfId="0" applyFont="1" applyFill="1" applyBorder="1" applyAlignment="1">
      <alignment horizontal="justify" vertical="center" wrapText="1"/>
    </xf>
    <xf numFmtId="3" fontId="63" fillId="0" borderId="53" xfId="0" applyNumberFormat="1" applyFont="1" applyFill="1" applyBorder="1" applyAlignment="1">
      <alignment horizontal="right" vertical="center" wrapText="1"/>
    </xf>
    <xf numFmtId="3" fontId="63" fillId="0" borderId="25" xfId="0" applyNumberFormat="1" applyFont="1" applyFill="1" applyBorder="1" applyAlignment="1">
      <alignment horizontal="right" vertical="center" wrapText="1"/>
    </xf>
    <xf numFmtId="3" fontId="63" fillId="0" borderId="58" xfId="0" applyNumberFormat="1" applyFont="1" applyFill="1" applyBorder="1" applyAlignment="1">
      <alignment horizontal="right" vertical="center" wrapText="1"/>
    </xf>
    <xf numFmtId="3" fontId="63" fillId="0" borderId="26" xfId="0" applyNumberFormat="1" applyFont="1" applyFill="1" applyBorder="1" applyAlignment="1">
      <alignment horizontal="right" vertical="center" wrapText="1"/>
    </xf>
    <xf numFmtId="0" fontId="63" fillId="0" borderId="33" xfId="0" applyFont="1" applyFill="1" applyBorder="1" applyAlignment="1">
      <alignment horizontal="left" vertical="center" wrapText="1"/>
    </xf>
    <xf numFmtId="0" fontId="63" fillId="0" borderId="59" xfId="0" applyFont="1" applyFill="1" applyBorder="1" applyAlignment="1">
      <alignment horizontal="left" vertical="center" wrapText="1"/>
    </xf>
    <xf numFmtId="3" fontId="63" fillId="0" borderId="60" xfId="0" applyNumberFormat="1" applyFont="1" applyFill="1" applyBorder="1" applyAlignment="1">
      <alignment horizontal="right" vertical="center" wrapText="1"/>
    </xf>
    <xf numFmtId="3" fontId="63" fillId="0" borderId="35" xfId="0" applyNumberFormat="1" applyFont="1" applyFill="1" applyBorder="1" applyAlignment="1">
      <alignment horizontal="right" vertical="center" wrapText="1"/>
    </xf>
    <xf numFmtId="166" fontId="59" fillId="0" borderId="36" xfId="0" applyNumberFormat="1" applyFont="1" applyBorder="1" applyAlignment="1">
      <alignment horizontal="right" vertical="center"/>
    </xf>
    <xf numFmtId="166" fontId="59" fillId="0" borderId="38" xfId="0" applyNumberFormat="1" applyFont="1" applyBorder="1" applyAlignment="1">
      <alignment horizontal="right" vertical="center"/>
    </xf>
    <xf numFmtId="166" fontId="59" fillId="0" borderId="39" xfId="0" applyNumberFormat="1" applyFont="1" applyBorder="1" applyAlignment="1">
      <alignment horizontal="right" vertical="center"/>
    </xf>
    <xf numFmtId="166" fontId="59" fillId="0" borderId="40" xfId="0" applyNumberFormat="1" applyFont="1" applyBorder="1" applyAlignment="1">
      <alignment horizontal="right" vertical="center"/>
    </xf>
    <xf numFmtId="0" fontId="60" fillId="0" borderId="39" xfId="0" applyFont="1" applyBorder="1" applyAlignment="1">
      <alignment/>
    </xf>
    <xf numFmtId="0" fontId="59" fillId="0" borderId="61" xfId="0" applyFont="1" applyBorder="1" applyAlignment="1">
      <alignment horizontal="justify" vertical="center" wrapText="1"/>
    </xf>
    <xf numFmtId="3" fontId="59" fillId="0" borderId="40" xfId="0" applyNumberFormat="1" applyFont="1" applyBorder="1" applyAlignment="1">
      <alignment horizontal="right" vertical="center"/>
    </xf>
    <xf numFmtId="0" fontId="64" fillId="35" borderId="0" xfId="0" applyFont="1" applyFill="1" applyAlignment="1">
      <alignment horizontal="right" vertical="center"/>
    </xf>
    <xf numFmtId="0" fontId="4" fillId="33" borderId="62" xfId="0" applyFont="1" applyFill="1" applyBorder="1" applyAlignment="1">
      <alignment horizontal="justify" vertical="center" wrapText="1"/>
    </xf>
    <xf numFmtId="0" fontId="4" fillId="33" borderId="22" xfId="0" applyFont="1" applyFill="1" applyBorder="1" applyAlignment="1">
      <alignment horizontal="justify" vertical="center" wrapText="1"/>
    </xf>
    <xf numFmtId="166" fontId="4" fillId="0" borderId="26" xfId="0" applyNumberFormat="1" applyFont="1" applyFill="1" applyBorder="1" applyAlignment="1">
      <alignment horizontal="right" vertical="center"/>
    </xf>
    <xf numFmtId="166" fontId="4" fillId="0" borderId="27" xfId="0" applyNumberFormat="1" applyFont="1" applyFill="1" applyBorder="1" applyAlignment="1">
      <alignment horizontal="right" vertical="center"/>
    </xf>
    <xf numFmtId="166" fontId="4" fillId="0" borderId="44" xfId="0" applyNumberFormat="1" applyFont="1" applyFill="1" applyBorder="1" applyAlignment="1">
      <alignment horizontal="right" vertical="center"/>
    </xf>
    <xf numFmtId="0" fontId="4" fillId="0" borderId="34" xfId="0" applyFont="1" applyFill="1" applyBorder="1" applyAlignment="1">
      <alignment horizontal="justify" vertical="center" wrapText="1"/>
    </xf>
    <xf numFmtId="0" fontId="59" fillId="0" borderId="23" xfId="0" applyFont="1" applyBorder="1" applyAlignment="1">
      <alignment horizontal="justify" vertical="center" wrapText="1"/>
    </xf>
    <xf numFmtId="165" fontId="62" fillId="36" borderId="23" xfId="0" applyNumberFormat="1" applyFont="1" applyFill="1" applyBorder="1" applyAlignment="1">
      <alignment horizontal="center" vertical="center" wrapText="1"/>
    </xf>
    <xf numFmtId="165" fontId="62" fillId="36" borderId="24" xfId="0" applyNumberFormat="1" applyFont="1" applyFill="1" applyBorder="1" applyAlignment="1">
      <alignment horizontal="center" vertical="center" wrapText="1"/>
    </xf>
    <xf numFmtId="166" fontId="60" fillId="0" borderId="0" xfId="0" applyNumberFormat="1" applyFont="1" applyAlignment="1">
      <alignment/>
    </xf>
    <xf numFmtId="166" fontId="59" fillId="0" borderId="51" xfId="0" applyNumberFormat="1" applyFont="1" applyBorder="1" applyAlignment="1">
      <alignment horizontal="right" vertical="center" wrapText="1"/>
    </xf>
    <xf numFmtId="166" fontId="59" fillId="0" borderId="55" xfId="0" applyNumberFormat="1" applyFont="1" applyBorder="1" applyAlignment="1">
      <alignment horizontal="right" vertical="center" wrapText="1"/>
    </xf>
    <xf numFmtId="166" fontId="59" fillId="33" borderId="26" xfId="0" applyNumberFormat="1" applyFont="1" applyFill="1" applyBorder="1" applyAlignment="1">
      <alignment horizontal="right" vertical="center" wrapText="1"/>
    </xf>
    <xf numFmtId="166" fontId="59" fillId="33" borderId="15" xfId="0" applyNumberFormat="1" applyFont="1" applyFill="1" applyBorder="1" applyAlignment="1">
      <alignment horizontal="right" vertical="center"/>
    </xf>
    <xf numFmtId="166" fontId="59" fillId="33" borderId="12" xfId="0" applyNumberFormat="1" applyFont="1" applyFill="1" applyBorder="1" applyAlignment="1">
      <alignment horizontal="right" vertical="center"/>
    </xf>
    <xf numFmtId="168" fontId="59" fillId="0" borderId="40" xfId="46" applyNumberFormat="1" applyFont="1" applyBorder="1" applyAlignment="1">
      <alignment vertical="center"/>
    </xf>
    <xf numFmtId="165" fontId="62" fillId="0" borderId="29" xfId="0" applyNumberFormat="1" applyFont="1" applyBorder="1" applyAlignment="1">
      <alignment horizontal="center" vertical="center" wrapText="1"/>
    </xf>
    <xf numFmtId="0" fontId="66" fillId="36" borderId="34" xfId="0" applyFont="1" applyFill="1" applyBorder="1" applyAlignment="1">
      <alignment horizontal="right" vertical="center" wrapText="1"/>
    </xf>
    <xf numFmtId="165" fontId="62" fillId="36" borderId="63" xfId="0" applyNumberFormat="1" applyFont="1" applyFill="1" applyBorder="1" applyAlignment="1">
      <alignment horizontal="center" vertical="center" wrapText="1"/>
    </xf>
    <xf numFmtId="3" fontId="65" fillId="36" borderId="59" xfId="0" applyNumberFormat="1" applyFont="1" applyFill="1" applyBorder="1" applyAlignment="1">
      <alignment vertical="center"/>
    </xf>
    <xf numFmtId="166" fontId="59" fillId="0" borderId="28" xfId="0" applyNumberFormat="1" applyFont="1" applyFill="1" applyBorder="1" applyAlignment="1">
      <alignment horizontal="right" vertical="center"/>
    </xf>
    <xf numFmtId="166" fontId="59" fillId="0" borderId="15" xfId="0" applyNumberFormat="1" applyFont="1" applyFill="1" applyBorder="1" applyAlignment="1">
      <alignment horizontal="right" vertical="center"/>
    </xf>
    <xf numFmtId="166" fontId="59" fillId="0" borderId="16" xfId="0" applyNumberFormat="1" applyFont="1" applyFill="1" applyBorder="1" applyAlignment="1">
      <alignment horizontal="right" vertical="center"/>
    </xf>
    <xf numFmtId="0" fontId="64" fillId="35" borderId="0" xfId="0" applyFont="1" applyFill="1" applyAlignment="1">
      <alignment horizontal="center" vertical="center"/>
    </xf>
    <xf numFmtId="3" fontId="64" fillId="35" borderId="0" xfId="0" applyNumberFormat="1" applyFont="1" applyFill="1" applyAlignment="1">
      <alignment/>
    </xf>
    <xf numFmtId="0" fontId="18" fillId="37" borderId="0" xfId="0" applyFont="1" applyFill="1" applyAlignment="1">
      <alignment horizontal="center"/>
    </xf>
    <xf numFmtId="0" fontId="59" fillId="0" borderId="23" xfId="0" applyFont="1" applyBorder="1" applyAlignment="1">
      <alignment horizontal="left" vertical="center" wrapText="1"/>
    </xf>
    <xf numFmtId="0" fontId="60" fillId="0" borderId="0" xfId="0" applyFont="1" applyBorder="1" applyAlignment="1">
      <alignment horizontal="left" vertical="center" indent="1"/>
    </xf>
    <xf numFmtId="0" fontId="60" fillId="0" borderId="60" xfId="0" applyFont="1" applyBorder="1" applyAlignment="1">
      <alignment horizontal="left" vertical="center" indent="1"/>
    </xf>
    <xf numFmtId="0" fontId="64" fillId="35" borderId="0" xfId="0" applyFont="1" applyFill="1" applyAlignment="1">
      <alignment horizontal="center" wrapText="1"/>
    </xf>
    <xf numFmtId="166" fontId="59" fillId="33" borderId="12" xfId="0" applyNumberFormat="1" applyFont="1" applyFill="1" applyBorder="1" applyAlignment="1">
      <alignment horizontal="right" vertical="center" wrapText="1"/>
    </xf>
    <xf numFmtId="166" fontId="59" fillId="0" borderId="64" xfId="0" applyNumberFormat="1" applyFont="1" applyBorder="1" applyAlignment="1">
      <alignment horizontal="right" vertical="center" wrapText="1"/>
    </xf>
    <xf numFmtId="0" fontId="59" fillId="0" borderId="20" xfId="0" applyFont="1" applyBorder="1" applyAlignment="1">
      <alignment horizontal="left" vertical="center" wrapText="1"/>
    </xf>
    <xf numFmtId="166" fontId="64" fillId="38" borderId="63" xfId="0" applyNumberFormat="1" applyFont="1" applyFill="1" applyBorder="1" applyAlignment="1">
      <alignment vertical="center"/>
    </xf>
    <xf numFmtId="166" fontId="64" fillId="38" borderId="49" xfId="0" applyNumberFormat="1" applyFont="1" applyFill="1" applyBorder="1" applyAlignment="1">
      <alignment vertical="center"/>
    </xf>
    <xf numFmtId="166" fontId="64" fillId="38" borderId="50" xfId="0" applyNumberFormat="1" applyFont="1" applyFill="1" applyBorder="1" applyAlignment="1">
      <alignment vertical="center"/>
    </xf>
    <xf numFmtId="166" fontId="64" fillId="38" borderId="48" xfId="0" applyNumberFormat="1" applyFont="1" applyFill="1" applyBorder="1" applyAlignment="1">
      <alignment vertical="center"/>
    </xf>
    <xf numFmtId="166" fontId="64" fillId="38" borderId="65" xfId="0" applyNumberFormat="1" applyFont="1" applyFill="1" applyBorder="1" applyAlignment="1">
      <alignment vertical="center"/>
    </xf>
    <xf numFmtId="166" fontId="64" fillId="38" borderId="66" xfId="0" applyNumberFormat="1" applyFont="1" applyFill="1" applyBorder="1" applyAlignment="1">
      <alignment vertical="center"/>
    </xf>
    <xf numFmtId="166" fontId="64" fillId="38" borderId="67" xfId="0" applyNumberFormat="1" applyFont="1" applyFill="1" applyBorder="1" applyAlignment="1">
      <alignment vertical="center"/>
    </xf>
    <xf numFmtId="166" fontId="64" fillId="38" borderId="24" xfId="0" applyNumberFormat="1" applyFont="1" applyFill="1" applyBorder="1" applyAlignment="1">
      <alignment vertical="center"/>
    </xf>
    <xf numFmtId="166" fontId="64" fillId="38" borderId="54" xfId="0" applyNumberFormat="1" applyFont="1" applyFill="1" applyBorder="1" applyAlignment="1">
      <alignment vertical="center"/>
    </xf>
    <xf numFmtId="166" fontId="59" fillId="0" borderId="49" xfId="0" applyNumberFormat="1" applyFont="1" applyBorder="1" applyAlignment="1">
      <alignment horizontal="right" vertical="center"/>
    </xf>
    <xf numFmtId="166" fontId="59" fillId="0" borderId="50" xfId="0" applyNumberFormat="1" applyFont="1" applyBorder="1" applyAlignment="1">
      <alignment horizontal="right" vertical="center"/>
    </xf>
    <xf numFmtId="166" fontId="59" fillId="0" borderId="48" xfId="0" applyNumberFormat="1" applyFont="1" applyBorder="1" applyAlignment="1">
      <alignment horizontal="right" vertical="center"/>
    </xf>
    <xf numFmtId="0" fontId="63" fillId="34" borderId="37" xfId="0" applyFont="1" applyFill="1" applyBorder="1" applyAlignment="1">
      <alignment horizontal="justify" vertical="center" wrapText="1"/>
    </xf>
    <xf numFmtId="3" fontId="63" fillId="0" borderId="40" xfId="0" applyNumberFormat="1" applyFont="1" applyFill="1" applyBorder="1" applyAlignment="1">
      <alignment horizontal="right" vertical="center"/>
    </xf>
    <xf numFmtId="3" fontId="63" fillId="0" borderId="38" xfId="0" applyNumberFormat="1" applyFont="1" applyFill="1" applyBorder="1" applyAlignment="1">
      <alignment horizontal="right" vertical="center"/>
    </xf>
    <xf numFmtId="3" fontId="63" fillId="0" borderId="39" xfId="0" applyNumberFormat="1" applyFont="1" applyFill="1" applyBorder="1" applyAlignment="1">
      <alignment horizontal="right" vertical="center"/>
    </xf>
    <xf numFmtId="0" fontId="62" fillId="0" borderId="26" xfId="0" applyFont="1" applyBorder="1" applyAlignment="1">
      <alignment horizontal="center" vertical="center" wrapText="1"/>
    </xf>
    <xf numFmtId="0" fontId="62" fillId="0" borderId="68" xfId="0" applyFont="1" applyBorder="1" applyAlignment="1">
      <alignment horizontal="center" vertical="center" wrapText="1"/>
    </xf>
    <xf numFmtId="165" fontId="62" fillId="0" borderId="32" xfId="0" applyNumberFormat="1" applyFont="1" applyBorder="1" applyAlignment="1">
      <alignment horizontal="center" vertical="center" wrapText="1"/>
    </xf>
    <xf numFmtId="165" fontId="62" fillId="0" borderId="26" xfId="0" applyNumberFormat="1" applyFont="1" applyBorder="1" applyAlignment="1">
      <alignment horizontal="center" vertical="center" wrapText="1"/>
    </xf>
    <xf numFmtId="165" fontId="62" fillId="0" borderId="27" xfId="0" applyNumberFormat="1" applyFont="1" applyBorder="1" applyAlignment="1">
      <alignment horizontal="center" vertical="center" wrapText="1"/>
    </xf>
    <xf numFmtId="0" fontId="62" fillId="0" borderId="36" xfId="0" applyFont="1" applyBorder="1" applyAlignment="1">
      <alignment horizontal="center" vertical="center" wrapText="1"/>
    </xf>
    <xf numFmtId="0" fontId="62" fillId="0" borderId="69" xfId="0" applyFont="1" applyBorder="1" applyAlignment="1">
      <alignment horizontal="center" vertical="center" wrapText="1"/>
    </xf>
    <xf numFmtId="165" fontId="62" fillId="0" borderId="36" xfId="0" applyNumberFormat="1" applyFont="1" applyBorder="1" applyAlignment="1">
      <alignment horizontal="center" vertical="center" wrapText="1"/>
    </xf>
    <xf numFmtId="165" fontId="62" fillId="0" borderId="38" xfId="0" applyNumberFormat="1" applyFont="1" applyBorder="1" applyAlignment="1">
      <alignment horizontal="center" vertical="center" wrapText="1"/>
    </xf>
    <xf numFmtId="165" fontId="62" fillId="0" borderId="39" xfId="0" applyNumberFormat="1" applyFont="1" applyBorder="1" applyAlignment="1">
      <alignment horizontal="center" vertical="center" wrapText="1"/>
    </xf>
    <xf numFmtId="0" fontId="59" fillId="0" borderId="56" xfId="0" applyFont="1" applyBorder="1" applyAlignment="1">
      <alignment horizontal="left" vertical="center"/>
    </xf>
    <xf numFmtId="0" fontId="59" fillId="0" borderId="70" xfId="0" applyFont="1" applyBorder="1" applyAlignment="1">
      <alignment horizontal="left" vertical="center"/>
    </xf>
    <xf numFmtId="0" fontId="59" fillId="0" borderId="59" xfId="0" applyFont="1" applyBorder="1" applyAlignment="1">
      <alignment horizontal="left" vertical="center"/>
    </xf>
    <xf numFmtId="0" fontId="59" fillId="0" borderId="59" xfId="0" applyFont="1" applyBorder="1" applyAlignment="1">
      <alignment horizontal="left" vertical="center" wrapText="1"/>
    </xf>
    <xf numFmtId="165" fontId="61" fillId="0" borderId="71" xfId="0" applyNumberFormat="1" applyFont="1" applyFill="1" applyBorder="1" applyAlignment="1">
      <alignment horizontal="left" vertical="center" wrapText="1"/>
    </xf>
    <xf numFmtId="166" fontId="64" fillId="38" borderId="72" xfId="0" applyNumberFormat="1" applyFont="1" applyFill="1" applyBorder="1" applyAlignment="1">
      <alignment vertical="center"/>
    </xf>
    <xf numFmtId="166" fontId="64" fillId="38" borderId="73" xfId="0" applyNumberFormat="1" applyFont="1" applyFill="1" applyBorder="1" applyAlignment="1">
      <alignment vertical="center"/>
    </xf>
    <xf numFmtId="165" fontId="62" fillId="0" borderId="68" xfId="0" applyNumberFormat="1" applyFont="1" applyBorder="1" applyAlignment="1">
      <alignment horizontal="center" vertical="center" wrapText="1"/>
    </xf>
    <xf numFmtId="166" fontId="59" fillId="0" borderId="70" xfId="0" applyNumberFormat="1" applyFont="1" applyFill="1" applyBorder="1" applyAlignment="1">
      <alignment horizontal="left" vertical="center" wrapText="1"/>
    </xf>
    <xf numFmtId="165" fontId="61" fillId="0" borderId="70" xfId="0" applyNumberFormat="1" applyFont="1" applyFill="1" applyBorder="1" applyAlignment="1">
      <alignment horizontal="left" vertical="center" wrapText="1"/>
    </xf>
    <xf numFmtId="165" fontId="67" fillId="0" borderId="70" xfId="0" applyNumberFormat="1" applyFont="1" applyFill="1" applyBorder="1" applyAlignment="1">
      <alignment horizontal="left" vertical="center" wrapText="1"/>
    </xf>
    <xf numFmtId="166" fontId="68" fillId="0" borderId="70" xfId="0" applyNumberFormat="1" applyFont="1" applyFill="1" applyBorder="1" applyAlignment="1">
      <alignment horizontal="right" vertical="center"/>
    </xf>
    <xf numFmtId="166" fontId="59" fillId="0" borderId="17" xfId="0" applyNumberFormat="1" applyFont="1" applyFill="1" applyBorder="1" applyAlignment="1">
      <alignment horizontal="right" vertical="center"/>
    </xf>
    <xf numFmtId="166" fontId="64" fillId="38" borderId="74" xfId="0" applyNumberFormat="1" applyFont="1" applyFill="1" applyBorder="1" applyAlignment="1">
      <alignment vertical="center"/>
    </xf>
    <xf numFmtId="165" fontId="62" fillId="0" borderId="69" xfId="0" applyNumberFormat="1" applyFont="1" applyBorder="1" applyAlignment="1">
      <alignment horizontal="center" vertical="center" wrapText="1"/>
    </xf>
    <xf numFmtId="165" fontId="59" fillId="0" borderId="17" xfId="0" applyNumberFormat="1" applyFont="1" applyBorder="1" applyAlignment="1">
      <alignment horizontal="right" vertical="center"/>
    </xf>
    <xf numFmtId="166" fontId="59" fillId="0" borderId="17" xfId="0" applyNumberFormat="1" applyFont="1" applyFill="1" applyBorder="1" applyAlignment="1">
      <alignment horizontal="right" vertical="center" wrapText="1"/>
    </xf>
    <xf numFmtId="166" fontId="62" fillId="0" borderId="17" xfId="0" applyNumberFormat="1" applyFont="1" applyFill="1" applyBorder="1" applyAlignment="1">
      <alignment horizontal="right" vertical="center" wrapText="1"/>
    </xf>
    <xf numFmtId="166" fontId="62" fillId="0" borderId="68" xfId="0" applyNumberFormat="1" applyFont="1" applyFill="1" applyBorder="1" applyAlignment="1">
      <alignment horizontal="right" vertical="center" wrapText="1"/>
    </xf>
    <xf numFmtId="166" fontId="62" fillId="0" borderId="29" xfId="0" applyNumberFormat="1" applyFont="1" applyFill="1" applyBorder="1" applyAlignment="1">
      <alignment horizontal="right" vertical="center" wrapText="1"/>
    </xf>
    <xf numFmtId="166" fontId="4" fillId="33" borderId="17" xfId="0" applyNumberFormat="1" applyFont="1" applyFill="1" applyBorder="1" applyAlignment="1">
      <alignment horizontal="right" vertical="center"/>
    </xf>
    <xf numFmtId="166" fontId="59" fillId="0" borderId="29" xfId="0" applyNumberFormat="1" applyFont="1" applyFill="1" applyBorder="1" applyAlignment="1">
      <alignment horizontal="right" vertical="center" wrapText="1"/>
    </xf>
    <xf numFmtId="166" fontId="4" fillId="0" borderId="68" xfId="0" applyNumberFormat="1" applyFont="1" applyFill="1" applyBorder="1" applyAlignment="1">
      <alignment horizontal="right" vertical="center" wrapText="1"/>
    </xf>
    <xf numFmtId="166" fontId="59" fillId="0" borderId="69" xfId="0" applyNumberFormat="1" applyFont="1" applyFill="1" applyBorder="1" applyAlignment="1">
      <alignment horizontal="right" vertical="center" wrapText="1"/>
    </xf>
    <xf numFmtId="166" fontId="59" fillId="0" borderId="29" xfId="0" applyNumberFormat="1" applyFont="1" applyBorder="1" applyAlignment="1">
      <alignment horizontal="right" vertical="center" wrapText="1"/>
    </xf>
    <xf numFmtId="166" fontId="59" fillId="0" borderId="74" xfId="0" applyNumberFormat="1" applyFont="1" applyBorder="1" applyAlignment="1">
      <alignment horizontal="right" vertical="center"/>
    </xf>
    <xf numFmtId="3" fontId="59" fillId="0" borderId="17" xfId="0" applyNumberFormat="1" applyFont="1" applyFill="1" applyBorder="1" applyAlignment="1">
      <alignment horizontal="right" vertical="center" wrapText="1"/>
    </xf>
    <xf numFmtId="3" fontId="59" fillId="0" borderId="17" xfId="0" applyNumberFormat="1" applyFont="1" applyFill="1" applyBorder="1" applyAlignment="1">
      <alignment horizontal="right" vertical="center"/>
    </xf>
    <xf numFmtId="3" fontId="4" fillId="0" borderId="17" xfId="0" applyNumberFormat="1" applyFont="1" applyFill="1" applyBorder="1" applyAlignment="1">
      <alignment horizontal="right" vertical="center" wrapText="1"/>
    </xf>
    <xf numFmtId="3" fontId="62" fillId="0" borderId="17" xfId="0" applyNumberFormat="1" applyFont="1" applyFill="1" applyBorder="1" applyAlignment="1">
      <alignment horizontal="right" vertical="center" wrapText="1"/>
    </xf>
    <xf numFmtId="3" fontId="69" fillId="0" borderId="29" xfId="0" applyNumberFormat="1"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3" fontId="59" fillId="0" borderId="69" xfId="0" applyNumberFormat="1" applyFont="1" applyFill="1" applyBorder="1" applyAlignment="1">
      <alignment horizontal="right" vertical="center" wrapText="1"/>
    </xf>
    <xf numFmtId="3" fontId="59" fillId="0" borderId="29" xfId="0" applyNumberFormat="1" applyFont="1" applyBorder="1" applyAlignment="1">
      <alignment horizontal="right" vertical="center"/>
    </xf>
    <xf numFmtId="3" fontId="59" fillId="0" borderId="17" xfId="0" applyNumberFormat="1" applyFont="1" applyBorder="1" applyAlignment="1">
      <alignment horizontal="right" vertical="center"/>
    </xf>
    <xf numFmtId="3" fontId="59" fillId="0" borderId="75" xfId="0" applyNumberFormat="1" applyFont="1" applyBorder="1" applyAlignment="1">
      <alignment horizontal="right" vertical="center"/>
    </xf>
    <xf numFmtId="3" fontId="59" fillId="0" borderId="29" xfId="0" applyNumberFormat="1" applyFont="1" applyFill="1" applyBorder="1" applyAlignment="1">
      <alignment horizontal="right" vertical="center" wrapText="1"/>
    </xf>
    <xf numFmtId="3" fontId="63" fillId="0" borderId="45" xfId="0" applyNumberFormat="1" applyFont="1" applyFill="1" applyBorder="1" applyAlignment="1">
      <alignment horizontal="right" vertical="center"/>
    </xf>
    <xf numFmtId="3" fontId="63" fillId="0" borderId="17" xfId="0" applyNumberFormat="1" applyFont="1" applyFill="1" applyBorder="1" applyAlignment="1">
      <alignment horizontal="right" vertical="center"/>
    </xf>
    <xf numFmtId="3" fontId="63" fillId="0" borderId="29" xfId="0" applyNumberFormat="1" applyFont="1" applyFill="1" applyBorder="1" applyAlignment="1">
      <alignment horizontal="right" vertical="center" wrapText="1"/>
    </xf>
    <xf numFmtId="3" fontId="63" fillId="0" borderId="68" xfId="0" applyNumberFormat="1" applyFont="1" applyFill="1" applyBorder="1" applyAlignment="1">
      <alignment horizontal="right" vertical="center"/>
    </xf>
    <xf numFmtId="3" fontId="63" fillId="0" borderId="69" xfId="0" applyNumberFormat="1" applyFont="1" applyFill="1" applyBorder="1" applyAlignment="1">
      <alignment horizontal="right" vertical="center"/>
    </xf>
    <xf numFmtId="166" fontId="59" fillId="0" borderId="71" xfId="0" applyNumberFormat="1" applyFont="1" applyBorder="1" applyAlignment="1">
      <alignment horizontal="right" vertical="center"/>
    </xf>
    <xf numFmtId="165" fontId="67" fillId="0" borderId="71" xfId="0" applyNumberFormat="1" applyFont="1" applyFill="1" applyBorder="1" applyAlignment="1">
      <alignment horizontal="left" vertical="center" wrapText="1"/>
    </xf>
    <xf numFmtId="166" fontId="68" fillId="0" borderId="71" xfId="0" applyNumberFormat="1" applyFont="1" applyBorder="1" applyAlignment="1">
      <alignment horizontal="right" vertical="center"/>
    </xf>
    <xf numFmtId="166" fontId="64" fillId="38" borderId="76" xfId="0" applyNumberFormat="1" applyFont="1" applyFill="1" applyBorder="1" applyAlignment="1">
      <alignment vertical="center"/>
    </xf>
    <xf numFmtId="166" fontId="64" fillId="38" borderId="77" xfId="0" applyNumberFormat="1" applyFont="1" applyFill="1" applyBorder="1" applyAlignment="1">
      <alignment vertical="center"/>
    </xf>
    <xf numFmtId="0" fontId="0" fillId="0" borderId="78" xfId="0" applyBorder="1" applyAlignment="1">
      <alignment/>
    </xf>
    <xf numFmtId="0" fontId="0" fillId="0" borderId="61" xfId="0" applyBorder="1" applyAlignment="1">
      <alignment/>
    </xf>
    <xf numFmtId="0" fontId="0" fillId="0" borderId="0" xfId="0" applyBorder="1" applyAlignment="1">
      <alignment/>
    </xf>
    <xf numFmtId="0" fontId="0" fillId="0" borderId="57" xfId="0" applyBorder="1" applyAlignment="1">
      <alignment/>
    </xf>
    <xf numFmtId="0" fontId="0" fillId="0" borderId="53" xfId="0" applyBorder="1" applyAlignment="1">
      <alignment/>
    </xf>
    <xf numFmtId="0" fontId="0" fillId="0" borderId="25" xfId="0" applyBorder="1" applyAlignment="1">
      <alignment/>
    </xf>
    <xf numFmtId="0" fontId="0" fillId="0" borderId="72" xfId="0" applyBorder="1" applyAlignment="1">
      <alignment/>
    </xf>
    <xf numFmtId="0" fontId="0" fillId="0" borderId="71" xfId="0" applyBorder="1" applyAlignment="1">
      <alignment/>
    </xf>
    <xf numFmtId="0" fontId="59" fillId="0" borderId="57" xfId="0" applyFont="1" applyBorder="1" applyAlignment="1">
      <alignment horizontal="justify" vertical="center" wrapText="1"/>
    </xf>
    <xf numFmtId="166" fontId="59" fillId="0" borderId="32" xfId="0" applyNumberFormat="1" applyFont="1" applyBorder="1" applyAlignment="1">
      <alignment horizontal="right" vertical="center"/>
    </xf>
    <xf numFmtId="166" fontId="59" fillId="0" borderId="44" xfId="0" applyNumberFormat="1" applyFont="1" applyBorder="1" applyAlignment="1">
      <alignment horizontal="right" vertical="center"/>
    </xf>
    <xf numFmtId="166" fontId="59" fillId="0" borderId="68" xfId="0" applyNumberFormat="1" applyFont="1" applyBorder="1" applyAlignment="1">
      <alignment horizontal="right" vertical="center"/>
    </xf>
    <xf numFmtId="165" fontId="61" fillId="0" borderId="57" xfId="0" applyNumberFormat="1" applyFont="1" applyFill="1" applyBorder="1" applyAlignment="1">
      <alignment/>
    </xf>
    <xf numFmtId="165" fontId="61" fillId="0" borderId="25" xfId="0" applyNumberFormat="1" applyFont="1" applyFill="1" applyBorder="1" applyAlignment="1">
      <alignment/>
    </xf>
    <xf numFmtId="165" fontId="61" fillId="0" borderId="0" xfId="0" applyNumberFormat="1" applyFont="1" applyFill="1" applyBorder="1" applyAlignment="1">
      <alignment/>
    </xf>
    <xf numFmtId="165" fontId="61" fillId="0" borderId="53" xfId="0" applyNumberFormat="1" applyFont="1" applyFill="1" applyBorder="1" applyAlignment="1">
      <alignment/>
    </xf>
    <xf numFmtId="165" fontId="60" fillId="0" borderId="57" xfId="0" applyNumberFormat="1" applyFont="1" applyFill="1" applyBorder="1" applyAlignment="1">
      <alignment wrapText="1"/>
    </xf>
    <xf numFmtId="165" fontId="60" fillId="0" borderId="53" xfId="0" applyNumberFormat="1" applyFont="1" applyFill="1" applyBorder="1" applyAlignment="1">
      <alignment wrapText="1"/>
    </xf>
    <xf numFmtId="165" fontId="60" fillId="0" borderId="25" xfId="0" applyNumberFormat="1" applyFont="1" applyFill="1" applyBorder="1" applyAlignment="1">
      <alignment wrapText="1"/>
    </xf>
    <xf numFmtId="3" fontId="65" fillId="0" borderId="0" xfId="0" applyNumberFormat="1" applyFont="1" applyFill="1" applyBorder="1" applyAlignment="1">
      <alignment vertical="center"/>
    </xf>
    <xf numFmtId="0" fontId="66" fillId="36" borderId="41" xfId="0" applyFont="1" applyFill="1" applyBorder="1" applyAlignment="1">
      <alignment horizontal="right" vertical="center" wrapText="1"/>
    </xf>
    <xf numFmtId="10" fontId="59" fillId="0" borderId="0" xfId="0" applyNumberFormat="1" applyFont="1" applyAlignment="1">
      <alignment horizontal="center" vertical="center"/>
    </xf>
    <xf numFmtId="0" fontId="70" fillId="35" borderId="0" xfId="0" applyFont="1" applyFill="1" applyAlignment="1">
      <alignment horizontal="center" vertical="center"/>
    </xf>
    <xf numFmtId="0" fontId="64" fillId="35" borderId="79" xfId="0" applyFont="1" applyFill="1" applyBorder="1" applyAlignment="1">
      <alignment horizontal="center" vertical="center"/>
    </xf>
    <xf numFmtId="3" fontId="64" fillId="35" borderId="80" xfId="0" applyNumberFormat="1" applyFont="1" applyFill="1" applyBorder="1" applyAlignment="1">
      <alignment/>
    </xf>
    <xf numFmtId="0" fontId="64" fillId="35" borderId="0" xfId="0" applyFont="1" applyFill="1" applyAlignment="1">
      <alignment horizontal="center" vertical="center" wrapText="1"/>
    </xf>
    <xf numFmtId="3" fontId="66" fillId="0" borderId="0" xfId="0" applyNumberFormat="1" applyFont="1" applyAlignment="1">
      <alignment/>
    </xf>
    <xf numFmtId="3" fontId="70" fillId="35" borderId="0" xfId="0" applyNumberFormat="1" applyFont="1" applyFill="1" applyAlignment="1">
      <alignment vertical="center"/>
    </xf>
    <xf numFmtId="3" fontId="59" fillId="0" borderId="0" xfId="0" applyNumberFormat="1" applyFont="1" applyAlignment="1">
      <alignment vertical="center"/>
    </xf>
    <xf numFmtId="3" fontId="59" fillId="0" borderId="0" xfId="0" applyNumberFormat="1" applyFont="1" applyBorder="1" applyAlignment="1">
      <alignment vertical="center"/>
    </xf>
    <xf numFmtId="3" fontId="59" fillId="0" borderId="60" xfId="0" applyNumberFormat="1" applyFont="1" applyBorder="1" applyAlignment="1">
      <alignment vertical="center"/>
    </xf>
    <xf numFmtId="3" fontId="66" fillId="37" borderId="0" xfId="0" applyNumberFormat="1" applyFont="1" applyFill="1" applyAlignment="1">
      <alignment horizontal="right" vertical="center"/>
    </xf>
    <xf numFmtId="0" fontId="16" fillId="37" borderId="0" xfId="0" applyFont="1" applyFill="1" applyAlignment="1">
      <alignment horizontal="center" vertical="center"/>
    </xf>
    <xf numFmtId="3" fontId="59" fillId="39" borderId="81" xfId="0" applyNumberFormat="1" applyFont="1" applyFill="1" applyBorder="1" applyAlignment="1">
      <alignment vertical="center"/>
    </xf>
    <xf numFmtId="3" fontId="59" fillId="40" borderId="81" xfId="0" applyNumberFormat="1" applyFont="1" applyFill="1" applyBorder="1" applyAlignment="1">
      <alignment vertical="center"/>
    </xf>
    <xf numFmtId="3" fontId="59" fillId="41" borderId="81" xfId="0" applyNumberFormat="1" applyFont="1" applyFill="1" applyBorder="1" applyAlignment="1">
      <alignment vertical="center"/>
    </xf>
    <xf numFmtId="3" fontId="59" fillId="42" borderId="81" xfId="0" applyNumberFormat="1" applyFont="1" applyFill="1" applyBorder="1" applyAlignment="1">
      <alignment vertical="center"/>
    </xf>
    <xf numFmtId="3" fontId="59" fillId="43" borderId="81" xfId="0" applyNumberFormat="1" applyFont="1" applyFill="1" applyBorder="1" applyAlignment="1">
      <alignment vertical="center"/>
    </xf>
    <xf numFmtId="3" fontId="70" fillId="35" borderId="80" xfId="0" applyNumberFormat="1" applyFont="1" applyFill="1" applyBorder="1" applyAlignment="1">
      <alignment vertical="center"/>
    </xf>
    <xf numFmtId="0" fontId="70" fillId="35" borderId="82" xfId="0" applyFont="1" applyFill="1" applyBorder="1" applyAlignment="1">
      <alignment horizontal="center" vertical="center" wrapText="1"/>
    </xf>
    <xf numFmtId="3" fontId="70" fillId="35" borderId="83" xfId="0" applyNumberFormat="1" applyFont="1" applyFill="1" applyBorder="1" applyAlignment="1">
      <alignment vertical="center"/>
    </xf>
    <xf numFmtId="0" fontId="64" fillId="35" borderId="84" xfId="0" applyFont="1" applyFill="1" applyBorder="1" applyAlignment="1">
      <alignment horizontal="center" vertical="center" wrapText="1"/>
    </xf>
    <xf numFmtId="0" fontId="64" fillId="35" borderId="80" xfId="0" applyFont="1" applyFill="1" applyBorder="1" applyAlignment="1">
      <alignment horizontal="center" vertical="center"/>
    </xf>
    <xf numFmtId="0" fontId="62" fillId="39" borderId="0" xfId="0" applyFont="1" applyFill="1" applyAlignment="1">
      <alignment horizontal="left" vertical="center" indent="1"/>
    </xf>
    <xf numFmtId="0" fontId="62" fillId="40" borderId="0" xfId="0" applyFont="1" applyFill="1" applyAlignment="1">
      <alignment horizontal="left" vertical="center" indent="1"/>
    </xf>
    <xf numFmtId="0" fontId="62" fillId="41" borderId="0" xfId="0" applyFont="1" applyFill="1" applyAlignment="1">
      <alignment horizontal="left" vertical="center" indent="1"/>
    </xf>
    <xf numFmtId="0" fontId="62" fillId="42" borderId="0" xfId="0" applyFont="1" applyFill="1" applyAlignment="1">
      <alignment horizontal="left" vertical="center" indent="1"/>
    </xf>
    <xf numFmtId="0" fontId="62" fillId="43" borderId="0" xfId="0" applyFont="1" applyFill="1" applyAlignment="1">
      <alignment horizontal="left" vertical="center" indent="1"/>
    </xf>
    <xf numFmtId="0" fontId="70" fillId="35" borderId="85" xfId="0" applyFont="1" applyFill="1" applyBorder="1" applyAlignment="1">
      <alignment horizontal="center" vertical="center"/>
    </xf>
    <xf numFmtId="0" fontId="70" fillId="35" borderId="47" xfId="0" applyFont="1" applyFill="1" applyBorder="1" applyAlignment="1">
      <alignment horizontal="center" vertical="center"/>
    </xf>
    <xf numFmtId="3" fontId="66" fillId="39" borderId="0" xfId="0" applyNumberFormat="1" applyFont="1" applyFill="1" applyAlignment="1">
      <alignment vertical="center"/>
    </xf>
    <xf numFmtId="3" fontId="66" fillId="40" borderId="0" xfId="0" applyNumberFormat="1" applyFont="1" applyFill="1" applyAlignment="1">
      <alignment vertical="center"/>
    </xf>
    <xf numFmtId="3" fontId="66" fillId="41" borderId="0" xfId="0" applyNumberFormat="1" applyFont="1" applyFill="1" applyAlignment="1">
      <alignment vertical="center"/>
    </xf>
    <xf numFmtId="3" fontId="66" fillId="42" borderId="0" xfId="0" applyNumberFormat="1" applyFont="1" applyFill="1" applyAlignment="1">
      <alignment vertical="center"/>
    </xf>
    <xf numFmtId="3" fontId="66" fillId="43" borderId="0" xfId="0" applyNumberFormat="1" applyFont="1" applyFill="1" applyAlignment="1">
      <alignment vertical="center"/>
    </xf>
    <xf numFmtId="0" fontId="66" fillId="36" borderId="33" xfId="0" applyFont="1" applyFill="1" applyBorder="1" applyAlignment="1">
      <alignment horizontal="right" vertical="center" wrapText="1"/>
    </xf>
    <xf numFmtId="0" fontId="71" fillId="36" borderId="37" xfId="0" applyFont="1" applyFill="1" applyBorder="1" applyAlignment="1">
      <alignment horizontal="right" vertical="center" wrapText="1"/>
    </xf>
    <xf numFmtId="0" fontId="59" fillId="0" borderId="56" xfId="0" applyFont="1" applyBorder="1" applyAlignment="1">
      <alignment horizontal="justify" vertical="center" wrapText="1"/>
    </xf>
    <xf numFmtId="0" fontId="59" fillId="0" borderId="59" xfId="0" applyFont="1" applyBorder="1" applyAlignment="1">
      <alignment horizontal="justify" vertical="center" wrapText="1"/>
    </xf>
    <xf numFmtId="0" fontId="59" fillId="0" borderId="43" xfId="0" applyFont="1" applyFill="1" applyBorder="1" applyAlignment="1">
      <alignment horizontal="justify" vertical="center" wrapText="1"/>
    </xf>
    <xf numFmtId="0" fontId="59" fillId="0" borderId="59" xfId="0" applyFont="1" applyFill="1" applyBorder="1" applyAlignment="1">
      <alignment horizontal="justify" vertical="center" wrapText="1"/>
    </xf>
    <xf numFmtId="166" fontId="59" fillId="0" borderId="86" xfId="0" applyNumberFormat="1" applyFont="1" applyFill="1" applyBorder="1" applyAlignment="1">
      <alignment horizontal="right" vertical="center"/>
    </xf>
    <xf numFmtId="166" fontId="59" fillId="0" borderId="40" xfId="0" applyNumberFormat="1" applyFont="1" applyFill="1" applyBorder="1" applyAlignment="1">
      <alignment horizontal="right" vertical="center"/>
    </xf>
    <xf numFmtId="0" fontId="59" fillId="0" borderId="34" xfId="0" applyFont="1" applyFill="1" applyBorder="1" applyAlignment="1">
      <alignment horizontal="justify" wrapText="1"/>
    </xf>
    <xf numFmtId="0" fontId="59" fillId="0" borderId="58" xfId="0" applyFont="1" applyBorder="1" applyAlignment="1">
      <alignment horizontal="left" vertical="center" wrapText="1"/>
    </xf>
    <xf numFmtId="166" fontId="59" fillId="0" borderId="69" xfId="0" applyNumberFormat="1" applyFont="1" applyBorder="1" applyAlignment="1">
      <alignment horizontal="right" vertical="center"/>
    </xf>
    <xf numFmtId="0" fontId="59" fillId="0" borderId="41" xfId="0" applyFont="1" applyFill="1" applyBorder="1" applyAlignment="1">
      <alignment horizontal="justify" vertical="center" wrapText="1"/>
    </xf>
    <xf numFmtId="0" fontId="59" fillId="0" borderId="41" xfId="0" applyFont="1" applyBorder="1" applyAlignment="1">
      <alignment horizontal="justify" vertical="center" wrapText="1"/>
    </xf>
    <xf numFmtId="0" fontId="59" fillId="0" borderId="34" xfId="0" applyFont="1" applyBorder="1" applyAlignment="1">
      <alignment horizontal="justify" wrapText="1"/>
    </xf>
    <xf numFmtId="0" fontId="59" fillId="0" borderId="43" xfId="0" applyFont="1" applyBorder="1" applyAlignment="1">
      <alignment horizontal="justify" wrapText="1"/>
    </xf>
    <xf numFmtId="166" fontId="59" fillId="0" borderId="57" xfId="0" applyNumberFormat="1" applyFont="1" applyFill="1" applyBorder="1" applyAlignment="1">
      <alignment horizontal="left" vertical="center" wrapText="1"/>
    </xf>
    <xf numFmtId="166" fontId="59" fillId="0" borderId="14" xfId="0" applyNumberFormat="1" applyFont="1" applyFill="1" applyBorder="1" applyAlignment="1">
      <alignment horizontal="right" vertical="center" wrapText="1"/>
    </xf>
    <xf numFmtId="0" fontId="59" fillId="0" borderId="87" xfId="0" applyFont="1" applyBorder="1" applyAlignment="1">
      <alignment horizontal="left" vertical="center" wrapText="1"/>
    </xf>
    <xf numFmtId="0" fontId="59" fillId="0" borderId="88" xfId="0" applyFont="1" applyBorder="1" applyAlignment="1">
      <alignment horizontal="left" vertical="center" wrapText="1"/>
    </xf>
    <xf numFmtId="0" fontId="63" fillId="0" borderId="33" xfId="0" applyFont="1" applyFill="1" applyBorder="1" applyAlignment="1">
      <alignment horizontal="justify" vertical="center" wrapText="1"/>
    </xf>
    <xf numFmtId="0" fontId="59" fillId="0" borderId="37" xfId="0" applyFont="1" applyFill="1" applyBorder="1" applyAlignment="1">
      <alignment horizontal="justify" vertical="center" wrapText="1"/>
    </xf>
    <xf numFmtId="3" fontId="59" fillId="0" borderId="51" xfId="0" applyNumberFormat="1" applyFont="1" applyBorder="1" applyAlignment="1">
      <alignment horizontal="right" vertical="center"/>
    </xf>
    <xf numFmtId="3" fontId="59" fillId="0" borderId="64" xfId="0" applyNumberFormat="1" applyFont="1" applyBorder="1" applyAlignment="1">
      <alignment horizontal="right" vertical="center"/>
    </xf>
    <xf numFmtId="0" fontId="59" fillId="0" borderId="53" xfId="0" applyFont="1" applyFill="1" applyBorder="1" applyAlignment="1">
      <alignment horizontal="justify" vertical="center" wrapText="1"/>
    </xf>
    <xf numFmtId="0" fontId="59" fillId="0" borderId="59" xfId="0" applyFont="1" applyBorder="1" applyAlignment="1">
      <alignment vertical="center" wrapText="1"/>
    </xf>
    <xf numFmtId="0" fontId="59" fillId="0" borderId="70" xfId="0" applyFont="1" applyBorder="1" applyAlignment="1">
      <alignment vertical="center" wrapText="1"/>
    </xf>
    <xf numFmtId="0" fontId="59" fillId="0" borderId="33" xfId="0" applyFont="1" applyBorder="1" applyAlignment="1">
      <alignment vertical="center" wrapText="1"/>
    </xf>
    <xf numFmtId="0" fontId="59" fillId="0" borderId="41" xfId="0" applyFont="1" applyBorder="1" applyAlignment="1">
      <alignment vertical="center" wrapText="1"/>
    </xf>
    <xf numFmtId="0" fontId="59" fillId="0" borderId="43" xfId="0" applyFont="1" applyBorder="1" applyAlignment="1">
      <alignment vertical="center" wrapText="1"/>
    </xf>
    <xf numFmtId="3" fontId="63" fillId="0" borderId="70" xfId="0" applyNumberFormat="1" applyFont="1" applyFill="1" applyBorder="1" applyAlignment="1">
      <alignment vertical="center" wrapText="1"/>
    </xf>
    <xf numFmtId="3" fontId="63" fillId="0" borderId="33" xfId="0" applyNumberFormat="1" applyFont="1" applyFill="1" applyBorder="1" applyAlignment="1">
      <alignment vertical="center" wrapText="1"/>
    </xf>
    <xf numFmtId="3" fontId="63" fillId="0" borderId="34" xfId="0" applyNumberFormat="1" applyFont="1" applyFill="1" applyBorder="1" applyAlignment="1">
      <alignment vertical="center" wrapText="1"/>
    </xf>
    <xf numFmtId="0" fontId="59" fillId="0" borderId="0" xfId="0" applyFont="1" applyFill="1" applyAlignment="1">
      <alignment wrapText="1"/>
    </xf>
    <xf numFmtId="3" fontId="59" fillId="0" borderId="30" xfId="0" applyNumberFormat="1" applyFont="1" applyFill="1" applyBorder="1" applyAlignment="1">
      <alignment vertical="center"/>
    </xf>
    <xf numFmtId="166" fontId="59" fillId="0" borderId="89" xfId="0" applyNumberFormat="1" applyFont="1" applyFill="1" applyBorder="1" applyAlignment="1">
      <alignment horizontal="right" vertical="center" wrapText="1"/>
    </xf>
    <xf numFmtId="166" fontId="59" fillId="0" borderId="90" xfId="0" applyNumberFormat="1" applyFont="1" applyFill="1" applyBorder="1" applyAlignment="1">
      <alignment horizontal="right" vertical="center" wrapText="1"/>
    </xf>
    <xf numFmtId="166" fontId="59" fillId="0" borderId="91" xfId="0" applyNumberFormat="1" applyFont="1" applyFill="1" applyBorder="1" applyAlignment="1">
      <alignment horizontal="right" vertical="center" wrapText="1"/>
    </xf>
    <xf numFmtId="166" fontId="59" fillId="0" borderId="92" xfId="0" applyNumberFormat="1" applyFont="1" applyFill="1" applyBorder="1" applyAlignment="1">
      <alignment horizontal="right" vertical="center" wrapText="1"/>
    </xf>
    <xf numFmtId="0" fontId="59" fillId="0" borderId="23" xfId="0" applyFont="1" applyFill="1" applyBorder="1" applyAlignment="1">
      <alignment horizontal="justify" vertical="center" wrapText="1"/>
    </xf>
    <xf numFmtId="166" fontId="64" fillId="38" borderId="13" xfId="0" applyNumberFormat="1" applyFont="1" applyFill="1" applyBorder="1" applyAlignment="1">
      <alignment vertical="center"/>
    </xf>
    <xf numFmtId="166" fontId="59" fillId="0" borderId="18" xfId="0" applyNumberFormat="1" applyFont="1" applyFill="1" applyBorder="1" applyAlignment="1">
      <alignment vertical="center"/>
    </xf>
    <xf numFmtId="3" fontId="59" fillId="0" borderId="42" xfId="0" applyNumberFormat="1" applyFont="1" applyFill="1" applyBorder="1" applyAlignment="1">
      <alignment horizontal="right" vertical="center" wrapText="1"/>
    </xf>
    <xf numFmtId="3" fontId="59" fillId="0" borderId="10" xfId="0" applyNumberFormat="1" applyFont="1" applyFill="1" applyBorder="1" applyAlignment="1">
      <alignment horizontal="right" vertical="center" wrapText="1"/>
    </xf>
    <xf numFmtId="3" fontId="59" fillId="0" borderId="11" xfId="0" applyNumberFormat="1" applyFont="1" applyFill="1" applyBorder="1" applyAlignment="1">
      <alignment horizontal="right" vertical="center" wrapText="1"/>
    </xf>
    <xf numFmtId="3" fontId="59" fillId="0" borderId="18" xfId="0" applyNumberFormat="1" applyFont="1" applyFill="1" applyBorder="1" applyAlignment="1">
      <alignment horizontal="right" vertical="center" wrapText="1"/>
    </xf>
    <xf numFmtId="3" fontId="59" fillId="0" borderId="13" xfId="0" applyNumberFormat="1" applyFont="1" applyFill="1" applyBorder="1" applyAlignment="1">
      <alignment horizontal="right" vertical="center" wrapText="1"/>
    </xf>
    <xf numFmtId="3" fontId="59" fillId="0" borderId="14" xfId="0" applyNumberFormat="1" applyFont="1" applyFill="1" applyBorder="1" applyAlignment="1">
      <alignment horizontal="right" vertical="center" wrapText="1"/>
    </xf>
    <xf numFmtId="3" fontId="59" fillId="0" borderId="12" xfId="0" applyNumberFormat="1" applyFont="1" applyFill="1" applyBorder="1" applyAlignment="1">
      <alignment horizontal="right" vertical="center" wrapText="1"/>
    </xf>
    <xf numFmtId="166" fontId="4" fillId="33" borderId="26" xfId="0" applyNumberFormat="1" applyFont="1" applyFill="1" applyBorder="1" applyAlignment="1">
      <alignment horizontal="right" vertical="center"/>
    </xf>
    <xf numFmtId="166" fontId="4" fillId="0" borderId="18" xfId="0" applyNumberFormat="1" applyFont="1" applyFill="1" applyBorder="1" applyAlignment="1">
      <alignment horizontal="right" vertical="center"/>
    </xf>
    <xf numFmtId="166" fontId="4" fillId="0" borderId="13" xfId="0" applyNumberFormat="1" applyFont="1" applyFill="1" applyBorder="1" applyAlignment="1">
      <alignment horizontal="right" vertical="center"/>
    </xf>
    <xf numFmtId="166" fontId="4" fillId="0" borderId="14" xfId="0" applyNumberFormat="1" applyFont="1" applyFill="1" applyBorder="1" applyAlignment="1">
      <alignment horizontal="right" vertical="center"/>
    </xf>
    <xf numFmtId="166" fontId="4" fillId="0" borderId="12" xfId="0" applyNumberFormat="1" applyFont="1" applyFill="1" applyBorder="1" applyAlignment="1">
      <alignment horizontal="right" vertical="center"/>
    </xf>
    <xf numFmtId="166" fontId="4" fillId="0" borderId="14" xfId="0" applyNumberFormat="1" applyFont="1" applyFill="1" applyBorder="1" applyAlignment="1">
      <alignment horizontal="right" vertical="center" wrapText="1"/>
    </xf>
    <xf numFmtId="166" fontId="59" fillId="0" borderId="56" xfId="0" applyNumberFormat="1" applyFont="1" applyBorder="1" applyAlignment="1">
      <alignment horizontal="right" vertical="center"/>
    </xf>
    <xf numFmtId="166" fontId="59" fillId="0" borderId="70" xfId="0" applyNumberFormat="1" applyFont="1" applyBorder="1" applyAlignment="1">
      <alignment horizontal="right" vertical="center"/>
    </xf>
    <xf numFmtId="166" fontId="59" fillId="0" borderId="59" xfId="0" applyNumberFormat="1" applyFont="1" applyBorder="1" applyAlignment="1">
      <alignment horizontal="right" vertical="center"/>
    </xf>
    <xf numFmtId="166" fontId="66" fillId="39" borderId="58" xfId="0" applyNumberFormat="1" applyFont="1" applyFill="1" applyBorder="1" applyAlignment="1">
      <alignment horizontal="right" vertical="center"/>
    </xf>
    <xf numFmtId="166" fontId="66" fillId="39" borderId="53" xfId="0" applyNumberFormat="1" applyFont="1" applyFill="1" applyBorder="1" applyAlignment="1">
      <alignment horizontal="right" vertical="center"/>
    </xf>
    <xf numFmtId="166" fontId="66" fillId="39" borderId="25" xfId="0" applyNumberFormat="1" applyFont="1" applyFill="1" applyBorder="1" applyAlignment="1">
      <alignment horizontal="right" vertical="center"/>
    </xf>
    <xf numFmtId="3" fontId="64" fillId="44" borderId="0" xfId="0" applyNumberFormat="1" applyFont="1" applyFill="1" applyAlignment="1">
      <alignment vertical="center"/>
    </xf>
    <xf numFmtId="3" fontId="64" fillId="44" borderId="85" xfId="0" applyNumberFormat="1" applyFont="1" applyFill="1" applyBorder="1" applyAlignment="1">
      <alignment vertical="center"/>
    </xf>
    <xf numFmtId="0" fontId="64" fillId="0" borderId="0" xfId="0" applyFont="1" applyFill="1" applyAlignment="1">
      <alignment vertical="center" wrapText="1"/>
    </xf>
    <xf numFmtId="0" fontId="64" fillId="44" borderId="0" xfId="0" applyFont="1" applyFill="1" applyAlignment="1">
      <alignment horizontal="center" vertical="center"/>
    </xf>
    <xf numFmtId="0" fontId="64" fillId="0" borderId="0" xfId="0" applyFont="1" applyFill="1" applyAlignment="1">
      <alignment horizontal="center" vertical="center" wrapText="1"/>
    </xf>
    <xf numFmtId="3" fontId="70" fillId="0" borderId="0" xfId="0" applyNumberFormat="1" applyFont="1" applyFill="1" applyBorder="1" applyAlignment="1">
      <alignment horizontal="center"/>
    </xf>
    <xf numFmtId="0" fontId="70" fillId="0" borderId="0" xfId="0" applyFont="1" applyFill="1" applyBorder="1" applyAlignment="1">
      <alignment horizontal="center"/>
    </xf>
    <xf numFmtId="3" fontId="61" fillId="0" borderId="0" xfId="0" applyNumberFormat="1" applyFont="1" applyAlignment="1">
      <alignment/>
    </xf>
    <xf numFmtId="3" fontId="61" fillId="0" borderId="0" xfId="0" applyNumberFormat="1" applyFont="1" applyAlignment="1">
      <alignment horizontal="right" vertical="center"/>
    </xf>
    <xf numFmtId="3" fontId="64" fillId="44" borderId="0" xfId="0" applyNumberFormat="1" applyFont="1" applyFill="1" applyAlignment="1">
      <alignment/>
    </xf>
    <xf numFmtId="3" fontId="64" fillId="44" borderId="85" xfId="0" applyNumberFormat="1" applyFont="1" applyFill="1" applyBorder="1" applyAlignment="1">
      <alignment/>
    </xf>
    <xf numFmtId="0" fontId="64" fillId="44" borderId="81" xfId="0" applyFont="1" applyFill="1" applyBorder="1" applyAlignment="1">
      <alignment horizontal="center" vertical="center"/>
    </xf>
    <xf numFmtId="0" fontId="4" fillId="33" borderId="56" xfId="0" applyFont="1" applyFill="1" applyBorder="1" applyAlignment="1">
      <alignment vertical="center" wrapText="1"/>
    </xf>
    <xf numFmtId="165" fontId="62" fillId="0" borderId="51" xfId="0" applyNumberFormat="1" applyFont="1" applyBorder="1" applyAlignment="1">
      <alignment horizontal="center" vertical="center" wrapText="1"/>
    </xf>
    <xf numFmtId="165" fontId="62" fillId="0" borderId="55" xfId="0" applyNumberFormat="1" applyFont="1" applyBorder="1" applyAlignment="1">
      <alignment horizontal="center" vertical="center" wrapText="1"/>
    </xf>
    <xf numFmtId="165" fontId="62" fillId="0" borderId="64" xfId="0" applyNumberFormat="1" applyFont="1" applyBorder="1" applyAlignment="1">
      <alignment horizontal="center" vertical="center" wrapText="1"/>
    </xf>
    <xf numFmtId="10" fontId="59" fillId="0" borderId="0" xfId="0" applyNumberFormat="1" applyFont="1" applyAlignment="1">
      <alignment vertical="center"/>
    </xf>
    <xf numFmtId="165" fontId="62" fillId="0" borderId="75" xfId="0" applyNumberFormat="1" applyFont="1" applyBorder="1" applyAlignment="1">
      <alignment horizontal="center" vertical="center" wrapText="1"/>
    </xf>
    <xf numFmtId="3" fontId="59" fillId="0" borderId="31" xfId="0" applyNumberFormat="1" applyFont="1" applyFill="1" applyBorder="1" applyAlignment="1">
      <alignment horizontal="right" vertical="center" wrapText="1"/>
    </xf>
    <xf numFmtId="0" fontId="59" fillId="0" borderId="0" xfId="0" applyFont="1" applyFill="1" applyBorder="1" applyAlignment="1">
      <alignment horizontal="justify" vertical="center" wrapText="1"/>
    </xf>
    <xf numFmtId="0" fontId="59" fillId="0" borderId="70" xfId="0" applyFont="1" applyFill="1" applyBorder="1" applyAlignment="1">
      <alignment horizontal="justify" vertical="center" wrapText="1"/>
    </xf>
    <xf numFmtId="166" fontId="59" fillId="0" borderId="56" xfId="0" applyNumberFormat="1" applyFont="1" applyFill="1" applyBorder="1" applyAlignment="1">
      <alignment horizontal="left" vertical="center" wrapText="1"/>
    </xf>
    <xf numFmtId="166" fontId="59" fillId="0" borderId="70" xfId="0" applyNumberFormat="1" applyFont="1" applyFill="1" applyBorder="1" applyAlignment="1">
      <alignment horizontal="left" vertical="center" wrapText="1"/>
    </xf>
    <xf numFmtId="166" fontId="59" fillId="0" borderId="59" xfId="0" applyNumberFormat="1" applyFont="1" applyFill="1" applyBorder="1" applyAlignment="1">
      <alignment horizontal="left" vertical="center" wrapText="1"/>
    </xf>
    <xf numFmtId="0" fontId="59" fillId="0" borderId="56" xfId="0" applyFont="1" applyBorder="1" applyAlignment="1">
      <alignment horizontal="left" vertical="center" wrapText="1"/>
    </xf>
    <xf numFmtId="0" fontId="59" fillId="0" borderId="70" xfId="0" applyFont="1" applyBorder="1" applyAlignment="1">
      <alignment horizontal="left" vertical="center" wrapText="1"/>
    </xf>
    <xf numFmtId="0" fontId="59" fillId="0" borderId="59" xfId="0" applyFont="1" applyBorder="1" applyAlignment="1">
      <alignment horizontal="left" vertical="center" wrapText="1"/>
    </xf>
    <xf numFmtId="165" fontId="62" fillId="0" borderId="72" xfId="0" applyNumberFormat="1" applyFont="1" applyBorder="1" applyAlignment="1">
      <alignment horizontal="left" vertical="center" wrapText="1"/>
    </xf>
    <xf numFmtId="165" fontId="59" fillId="0" borderId="78" xfId="0" applyNumberFormat="1" applyFont="1" applyBorder="1" applyAlignment="1">
      <alignment horizontal="left" vertical="center" wrapText="1"/>
    </xf>
    <xf numFmtId="165" fontId="59" fillId="0" borderId="71" xfId="0" applyNumberFormat="1" applyFont="1" applyBorder="1" applyAlignment="1">
      <alignment horizontal="left" vertical="center" wrapText="1"/>
    </xf>
    <xf numFmtId="165" fontId="59" fillId="0" borderId="0" xfId="0" applyNumberFormat="1" applyFont="1" applyBorder="1" applyAlignment="1">
      <alignment horizontal="left" vertical="center" wrapText="1"/>
    </xf>
    <xf numFmtId="165" fontId="59" fillId="0" borderId="58" xfId="0" applyNumberFormat="1" applyFont="1" applyBorder="1" applyAlignment="1">
      <alignment horizontal="left" vertical="center" wrapText="1"/>
    </xf>
    <xf numFmtId="165" fontId="59" fillId="0" borderId="53" xfId="0" applyNumberFormat="1" applyFont="1" applyBorder="1" applyAlignment="1">
      <alignment horizontal="left" vertical="center" wrapText="1"/>
    </xf>
    <xf numFmtId="0" fontId="72" fillId="45" borderId="63" xfId="0" applyFont="1" applyFill="1" applyBorder="1" applyAlignment="1">
      <alignment horizontal="center" vertical="center" wrapText="1"/>
    </xf>
    <xf numFmtId="0" fontId="72" fillId="45" borderId="49" xfId="0" applyFont="1" applyFill="1" applyBorder="1" applyAlignment="1">
      <alignment horizontal="center" vertical="center" wrapText="1"/>
    </xf>
    <xf numFmtId="165" fontId="72" fillId="45" borderId="49" xfId="0" applyNumberFormat="1" applyFont="1" applyFill="1" applyBorder="1" applyAlignment="1">
      <alignment horizontal="center" vertical="center" wrapText="1"/>
    </xf>
    <xf numFmtId="0" fontId="72" fillId="45" borderId="50" xfId="0" applyFont="1" applyFill="1" applyBorder="1" applyAlignment="1">
      <alignment horizontal="center" vertical="center" wrapText="1"/>
    </xf>
    <xf numFmtId="0" fontId="70" fillId="45" borderId="56" xfId="0" applyFont="1" applyFill="1" applyBorder="1" applyAlignment="1">
      <alignment horizontal="center" vertical="center" wrapText="1"/>
    </xf>
    <xf numFmtId="0" fontId="70" fillId="45" borderId="70" xfId="0" applyFont="1" applyFill="1" applyBorder="1" applyAlignment="1">
      <alignment horizontal="center" vertical="center" wrapText="1"/>
    </xf>
    <xf numFmtId="0" fontId="70" fillId="45" borderId="59" xfId="0" applyFont="1" applyFill="1" applyBorder="1" applyAlignment="1">
      <alignment horizontal="center" vertical="center" wrapText="1"/>
    </xf>
    <xf numFmtId="0" fontId="62" fillId="46" borderId="87" xfId="0" applyFont="1" applyFill="1" applyBorder="1" applyAlignment="1">
      <alignment horizontal="justify" vertical="center" wrapText="1"/>
    </xf>
    <xf numFmtId="0" fontId="62" fillId="46" borderId="24" xfId="0" applyFont="1" applyFill="1" applyBorder="1" applyAlignment="1">
      <alignment horizontal="justify" vertical="center" wrapText="1"/>
    </xf>
    <xf numFmtId="166" fontId="62" fillId="46" borderId="87" xfId="0" applyNumberFormat="1" applyFont="1" applyFill="1" applyBorder="1" applyAlignment="1">
      <alignment horizontal="right" vertical="center" wrapText="1"/>
    </xf>
    <xf numFmtId="166" fontId="62" fillId="46" borderId="73" xfId="0" applyNumberFormat="1" applyFont="1" applyFill="1" applyBorder="1" applyAlignment="1">
      <alignment horizontal="right" vertical="center" wrapText="1"/>
    </xf>
    <xf numFmtId="166" fontId="62" fillId="46" borderId="24" xfId="0" applyNumberFormat="1" applyFont="1" applyFill="1" applyBorder="1" applyAlignment="1">
      <alignment horizontal="right" vertical="center" wrapText="1"/>
    </xf>
    <xf numFmtId="0" fontId="62" fillId="46" borderId="58" xfId="0" applyFont="1" applyFill="1" applyBorder="1" applyAlignment="1">
      <alignment horizontal="justify" vertical="center" wrapText="1"/>
    </xf>
    <xf numFmtId="0" fontId="62" fillId="46" borderId="25" xfId="0" applyFont="1" applyFill="1" applyBorder="1" applyAlignment="1">
      <alignment horizontal="justify" vertical="center" wrapText="1"/>
    </xf>
    <xf numFmtId="0" fontId="59" fillId="0" borderId="56" xfId="0" applyFont="1" applyBorder="1" applyAlignment="1">
      <alignment horizontal="left" vertical="center"/>
    </xf>
    <xf numFmtId="0" fontId="59" fillId="0" borderId="59" xfId="0" applyFont="1" applyBorder="1" applyAlignment="1">
      <alignment horizontal="left" vertical="center"/>
    </xf>
    <xf numFmtId="0" fontId="59" fillId="0" borderId="56" xfId="0" applyFont="1" applyBorder="1" applyAlignment="1">
      <alignment horizontal="justify" vertical="center" wrapText="1"/>
    </xf>
    <xf numFmtId="0" fontId="59" fillId="0" borderId="70" xfId="0" applyFont="1" applyBorder="1" applyAlignment="1">
      <alignment horizontal="justify" vertical="center" wrapText="1"/>
    </xf>
    <xf numFmtId="0" fontId="59" fillId="0" borderId="59" xfId="0" applyFont="1" applyBorder="1" applyAlignment="1">
      <alignment horizontal="justify" vertical="center" wrapText="1"/>
    </xf>
    <xf numFmtId="0" fontId="66" fillId="39" borderId="87" xfId="0" applyFont="1" applyFill="1" applyBorder="1" applyAlignment="1">
      <alignment horizontal="right" vertical="center" wrapText="1"/>
    </xf>
    <xf numFmtId="0" fontId="66" fillId="39" borderId="24" xfId="0" applyFont="1" applyFill="1" applyBorder="1" applyAlignment="1">
      <alignment horizontal="right" vertical="center" wrapText="1"/>
    </xf>
    <xf numFmtId="166" fontId="66" fillId="39" borderId="87" xfId="0" applyNumberFormat="1" applyFont="1" applyFill="1" applyBorder="1" applyAlignment="1">
      <alignment horizontal="right" vertical="center"/>
    </xf>
    <xf numFmtId="166" fontId="66" fillId="39" borderId="73" xfId="0" applyNumberFormat="1" applyFont="1" applyFill="1" applyBorder="1" applyAlignment="1">
      <alignment horizontal="right" vertical="center"/>
    </xf>
    <xf numFmtId="166" fontId="66" fillId="39" borderId="24" xfId="0" applyNumberFormat="1" applyFont="1" applyFill="1" applyBorder="1" applyAlignment="1">
      <alignment horizontal="right" vertical="center"/>
    </xf>
    <xf numFmtId="0" fontId="61" fillId="45" borderId="58" xfId="0" applyFont="1" applyFill="1" applyBorder="1" applyAlignment="1">
      <alignment horizontal="center" vertical="center"/>
    </xf>
    <xf numFmtId="0" fontId="61" fillId="45" borderId="53" xfId="0" applyFont="1" applyFill="1" applyBorder="1" applyAlignment="1">
      <alignment horizontal="center" vertical="center"/>
    </xf>
    <xf numFmtId="49" fontId="72" fillId="45" borderId="51" xfId="0" applyNumberFormat="1" applyFont="1" applyFill="1" applyBorder="1" applyAlignment="1">
      <alignment horizontal="center" vertical="center"/>
    </xf>
    <xf numFmtId="49" fontId="72" fillId="45" borderId="55" xfId="0" applyNumberFormat="1" applyFont="1" applyFill="1" applyBorder="1" applyAlignment="1">
      <alignment horizontal="center" vertical="center"/>
    </xf>
    <xf numFmtId="49" fontId="72" fillId="45" borderId="64" xfId="0" applyNumberFormat="1" applyFont="1" applyFill="1" applyBorder="1" applyAlignment="1">
      <alignment horizontal="center" vertical="center"/>
    </xf>
    <xf numFmtId="49" fontId="72" fillId="45" borderId="63" xfId="0" applyNumberFormat="1" applyFont="1" applyFill="1" applyBorder="1" applyAlignment="1">
      <alignment horizontal="center" vertical="center"/>
    </xf>
    <xf numFmtId="49" fontId="72" fillId="45" borderId="49" xfId="0" applyNumberFormat="1" applyFont="1" applyFill="1" applyBorder="1" applyAlignment="1">
      <alignment horizontal="center" vertical="center"/>
    </xf>
    <xf numFmtId="49" fontId="72" fillId="45" borderId="50" xfId="0" applyNumberFormat="1" applyFont="1" applyFill="1" applyBorder="1" applyAlignment="1">
      <alignment horizontal="center" vertical="center"/>
    </xf>
    <xf numFmtId="0" fontId="71" fillId="39" borderId="87" xfId="0" applyFont="1" applyFill="1" applyBorder="1" applyAlignment="1">
      <alignment horizontal="center" vertical="center" wrapText="1"/>
    </xf>
    <xf numFmtId="0" fontId="71" fillId="39" borderId="73" xfId="0" applyFont="1" applyFill="1" applyBorder="1" applyAlignment="1">
      <alignment horizontal="center" vertical="center" wrapText="1"/>
    </xf>
    <xf numFmtId="0" fontId="66" fillId="39" borderId="72" xfId="0" applyFont="1" applyFill="1" applyBorder="1" applyAlignment="1">
      <alignment horizontal="justify" vertical="center" wrapText="1"/>
    </xf>
    <xf numFmtId="0" fontId="73" fillId="39" borderId="78" xfId="0" applyFont="1" applyFill="1" applyBorder="1" applyAlignment="1">
      <alignment horizontal="justify" vertical="center" wrapText="1"/>
    </xf>
    <xf numFmtId="0" fontId="73" fillId="39" borderId="71" xfId="0" applyFont="1" applyFill="1" applyBorder="1" applyAlignment="1">
      <alignment horizontal="justify" vertical="center" wrapText="1"/>
    </xf>
    <xf numFmtId="0" fontId="73" fillId="39" borderId="0" xfId="0" applyFont="1" applyFill="1" applyBorder="1" applyAlignment="1">
      <alignment horizontal="justify" vertical="center" wrapText="1"/>
    </xf>
    <xf numFmtId="0" fontId="73" fillId="39" borderId="58" xfId="0" applyFont="1" applyFill="1" applyBorder="1" applyAlignment="1">
      <alignment horizontal="justify" vertical="center" wrapText="1"/>
    </xf>
    <xf numFmtId="0" fontId="73" fillId="39" borderId="53" xfId="0" applyFont="1" applyFill="1" applyBorder="1" applyAlignment="1">
      <alignment horizontal="justify" vertical="center" wrapText="1"/>
    </xf>
    <xf numFmtId="0" fontId="59" fillId="0" borderId="33" xfId="0" applyFont="1" applyBorder="1" applyAlignment="1">
      <alignment horizontal="left" vertical="center"/>
    </xf>
    <xf numFmtId="0" fontId="59" fillId="0" borderId="37" xfId="0" applyFont="1" applyBorder="1" applyAlignment="1">
      <alignment horizontal="left" vertical="center"/>
    </xf>
    <xf numFmtId="0" fontId="66" fillId="39" borderId="58" xfId="0" applyFont="1" applyFill="1" applyBorder="1" applyAlignment="1">
      <alignment horizontal="right" vertical="center" wrapText="1"/>
    </xf>
    <xf numFmtId="0" fontId="66" fillId="39" borderId="25" xfId="0" applyFont="1" applyFill="1" applyBorder="1" applyAlignment="1">
      <alignment horizontal="right" vertical="center" wrapText="1"/>
    </xf>
    <xf numFmtId="166" fontId="66" fillId="39" borderId="58" xfId="0" applyNumberFormat="1" applyFont="1" applyFill="1" applyBorder="1" applyAlignment="1">
      <alignment horizontal="right" vertical="center"/>
    </xf>
    <xf numFmtId="166" fontId="66" fillId="39" borderId="53" xfId="0" applyNumberFormat="1" applyFont="1" applyFill="1" applyBorder="1" applyAlignment="1">
      <alignment horizontal="right" vertical="center"/>
    </xf>
    <xf numFmtId="166" fontId="66" fillId="39" borderId="25" xfId="0" applyNumberFormat="1" applyFont="1" applyFill="1" applyBorder="1" applyAlignment="1">
      <alignment horizontal="right" vertical="center"/>
    </xf>
    <xf numFmtId="0" fontId="62" fillId="46" borderId="87" xfId="0" applyFont="1" applyFill="1" applyBorder="1" applyAlignment="1">
      <alignment horizontal="justify" vertical="center"/>
    </xf>
    <xf numFmtId="0" fontId="62" fillId="46" borderId="24" xfId="0" applyFont="1" applyFill="1" applyBorder="1" applyAlignment="1">
      <alignment horizontal="justify" vertical="center"/>
    </xf>
    <xf numFmtId="166" fontId="62" fillId="46" borderId="87" xfId="0" applyNumberFormat="1" applyFont="1" applyFill="1" applyBorder="1" applyAlignment="1">
      <alignment horizontal="right" vertical="center"/>
    </xf>
    <xf numFmtId="166" fontId="62" fillId="46" borderId="73" xfId="0" applyNumberFormat="1" applyFont="1" applyFill="1" applyBorder="1" applyAlignment="1">
      <alignment horizontal="right" vertical="center"/>
    </xf>
    <xf numFmtId="166" fontId="62" fillId="46" borderId="24" xfId="0" applyNumberFormat="1" applyFont="1" applyFill="1" applyBorder="1" applyAlignment="1">
      <alignment horizontal="right" vertical="center"/>
    </xf>
    <xf numFmtId="0" fontId="70" fillId="38" borderId="71" xfId="0" applyFont="1" applyFill="1" applyBorder="1" applyAlignment="1">
      <alignment horizontal="right" vertical="center" wrapText="1"/>
    </xf>
    <xf numFmtId="0" fontId="70" fillId="38" borderId="0" xfId="0" applyFont="1" applyFill="1" applyBorder="1" applyAlignment="1">
      <alignment horizontal="right" vertical="center" wrapText="1"/>
    </xf>
    <xf numFmtId="0" fontId="62" fillId="39" borderId="89" xfId="0" applyFont="1" applyFill="1" applyBorder="1" applyAlignment="1">
      <alignment horizontal="left" vertical="center" wrapText="1"/>
    </xf>
    <xf numFmtId="0" fontId="59" fillId="39" borderId="91" xfId="0" applyFont="1" applyFill="1" applyBorder="1" applyAlignment="1">
      <alignment horizontal="left" vertical="center" wrapText="1"/>
    </xf>
    <xf numFmtId="0" fontId="59" fillId="39" borderId="18" xfId="0" applyFont="1" applyFill="1" applyBorder="1" applyAlignment="1">
      <alignment horizontal="left" vertical="center" wrapText="1"/>
    </xf>
    <xf numFmtId="0" fontId="59" fillId="39" borderId="17" xfId="0" applyFont="1" applyFill="1" applyBorder="1" applyAlignment="1">
      <alignment horizontal="left" vertical="center" wrapText="1"/>
    </xf>
    <xf numFmtId="165" fontId="62" fillId="0" borderId="72" xfId="0" applyNumberFormat="1" applyFont="1" applyFill="1" applyBorder="1" applyAlignment="1">
      <alignment horizontal="left" vertical="center" wrapText="1"/>
    </xf>
    <xf numFmtId="165" fontId="62" fillId="0" borderId="78" xfId="0" applyNumberFormat="1" applyFont="1" applyFill="1" applyBorder="1" applyAlignment="1">
      <alignment horizontal="left" vertical="center" wrapText="1"/>
    </xf>
    <xf numFmtId="165" fontId="62" fillId="0" borderId="0" xfId="0" applyNumberFormat="1" applyFont="1" applyFill="1" applyBorder="1" applyAlignment="1">
      <alignment horizontal="left" vertical="center" wrapText="1"/>
    </xf>
    <xf numFmtId="165" fontId="59" fillId="0" borderId="71" xfId="0" applyNumberFormat="1" applyFont="1" applyFill="1" applyBorder="1" applyAlignment="1">
      <alignment horizontal="left" vertical="center" wrapText="1"/>
    </xf>
    <xf numFmtId="165" fontId="59" fillId="0" borderId="0" xfId="0" applyNumberFormat="1" applyFont="1" applyFill="1" applyBorder="1" applyAlignment="1">
      <alignment horizontal="left" vertical="center" wrapText="1"/>
    </xf>
    <xf numFmtId="0" fontId="62" fillId="46" borderId="58" xfId="0" applyFont="1" applyFill="1" applyBorder="1" applyAlignment="1">
      <alignment horizontal="left" vertical="center" wrapText="1"/>
    </xf>
    <xf numFmtId="0" fontId="62" fillId="46" borderId="25" xfId="0" applyFont="1" applyFill="1" applyBorder="1" applyAlignment="1">
      <alignment horizontal="left" vertical="center" wrapText="1"/>
    </xf>
    <xf numFmtId="166" fontId="62" fillId="46" borderId="58" xfId="0" applyNumberFormat="1" applyFont="1" applyFill="1" applyBorder="1" applyAlignment="1">
      <alignment horizontal="right" vertical="center" wrapText="1"/>
    </xf>
    <xf numFmtId="166" fontId="62" fillId="46" borderId="53" xfId="0" applyNumberFormat="1" applyFont="1" applyFill="1" applyBorder="1" applyAlignment="1">
      <alignment horizontal="right" vertical="center" wrapText="1"/>
    </xf>
    <xf numFmtId="166" fontId="62" fillId="46" borderId="25" xfId="0" applyNumberFormat="1" applyFont="1" applyFill="1" applyBorder="1" applyAlignment="1">
      <alignment horizontal="right" vertical="center" wrapText="1"/>
    </xf>
    <xf numFmtId="0" fontId="62" fillId="39" borderId="72" xfId="0" applyFont="1" applyFill="1" applyBorder="1" applyAlignment="1">
      <alignment horizontal="justify" vertical="center" wrapText="1"/>
    </xf>
    <xf numFmtId="0" fontId="59" fillId="39" borderId="61" xfId="0" applyFont="1" applyFill="1" applyBorder="1" applyAlignment="1">
      <alignment horizontal="justify" vertical="center" wrapText="1"/>
    </xf>
    <xf numFmtId="0" fontId="59" fillId="39" borderId="71" xfId="0" applyFont="1" applyFill="1" applyBorder="1" applyAlignment="1">
      <alignment horizontal="justify" vertical="center" wrapText="1"/>
    </xf>
    <xf numFmtId="0" fontId="59" fillId="39" borderId="57" xfId="0" applyFont="1" applyFill="1" applyBorder="1" applyAlignment="1">
      <alignment horizontal="justify" vertical="center" wrapText="1"/>
    </xf>
    <xf numFmtId="0" fontId="59" fillId="39" borderId="58" xfId="0" applyFont="1" applyFill="1" applyBorder="1" applyAlignment="1">
      <alignment horizontal="justify" vertical="center" wrapText="1"/>
    </xf>
    <xf numFmtId="0" fontId="59" fillId="39" borderId="25" xfId="0" applyFont="1" applyFill="1" applyBorder="1" applyAlignment="1">
      <alignment horizontal="justify" vertical="center" wrapText="1"/>
    </xf>
    <xf numFmtId="0" fontId="59" fillId="0" borderId="58" xfId="0" applyFont="1" applyFill="1" applyBorder="1" applyAlignment="1">
      <alignment horizontal="left" wrapText="1"/>
    </xf>
    <xf numFmtId="0" fontId="0" fillId="0" borderId="53" xfId="0" applyBorder="1" applyAlignment="1">
      <alignment/>
    </xf>
    <xf numFmtId="166" fontId="62" fillId="46" borderId="87" xfId="0" applyNumberFormat="1" applyFont="1" applyFill="1" applyBorder="1" applyAlignment="1">
      <alignment horizontal="center" vertical="center"/>
    </xf>
    <xf numFmtId="166" fontId="62" fillId="46" borderId="24" xfId="0" applyNumberFormat="1" applyFont="1" applyFill="1" applyBorder="1" applyAlignment="1">
      <alignment horizontal="center" vertical="center"/>
    </xf>
    <xf numFmtId="0" fontId="59" fillId="0" borderId="93" xfId="0" applyFont="1" applyBorder="1" applyAlignment="1">
      <alignment horizontal="left" vertical="center"/>
    </xf>
    <xf numFmtId="0" fontId="59" fillId="0" borderId="94" xfId="0" applyFont="1" applyBorder="1" applyAlignment="1">
      <alignment horizontal="left" vertical="center"/>
    </xf>
    <xf numFmtId="0" fontId="59" fillId="0" borderId="95" xfId="0" applyFont="1" applyBorder="1" applyAlignment="1">
      <alignment horizontal="left" vertical="center"/>
    </xf>
    <xf numFmtId="49" fontId="72" fillId="45" borderId="89" xfId="0" applyNumberFormat="1" applyFont="1" applyFill="1" applyBorder="1" applyAlignment="1">
      <alignment horizontal="center" vertical="center"/>
    </xf>
    <xf numFmtId="49" fontId="72" fillId="45" borderId="90" xfId="0" applyNumberFormat="1" applyFont="1" applyFill="1" applyBorder="1" applyAlignment="1">
      <alignment horizontal="center" vertical="center"/>
    </xf>
    <xf numFmtId="49" fontId="72" fillId="45" borderId="91" xfId="0" applyNumberFormat="1" applyFont="1" applyFill="1" applyBorder="1" applyAlignment="1">
      <alignment horizontal="center" vertical="center"/>
    </xf>
    <xf numFmtId="0" fontId="70" fillId="38" borderId="72" xfId="0" applyFont="1" applyFill="1" applyBorder="1" applyAlignment="1">
      <alignment horizontal="right" vertical="center" wrapText="1"/>
    </xf>
    <xf numFmtId="0" fontId="70" fillId="38" borderId="61" xfId="0" applyFont="1" applyFill="1" applyBorder="1" applyAlignment="1">
      <alignment horizontal="right" vertical="center" wrapText="1"/>
    </xf>
    <xf numFmtId="0" fontId="66" fillId="39" borderId="89" xfId="0" applyFont="1" applyFill="1" applyBorder="1" applyAlignment="1">
      <alignment horizontal="left" vertical="center" wrapText="1"/>
    </xf>
    <xf numFmtId="0" fontId="66" fillId="39" borderId="91" xfId="0" applyFont="1" applyFill="1" applyBorder="1" applyAlignment="1">
      <alignment horizontal="left" vertical="center" wrapText="1"/>
    </xf>
    <xf numFmtId="0" fontId="66" fillId="39" borderId="18" xfId="0" applyFont="1" applyFill="1" applyBorder="1" applyAlignment="1">
      <alignment horizontal="left" vertical="center" wrapText="1"/>
    </xf>
    <xf numFmtId="0" fontId="66" fillId="39" borderId="17" xfId="0" applyFont="1" applyFill="1" applyBorder="1" applyAlignment="1">
      <alignment horizontal="left" vertical="center" wrapText="1"/>
    </xf>
    <xf numFmtId="0" fontId="66" fillId="39" borderId="30" xfId="0" applyFont="1" applyFill="1" applyBorder="1" applyAlignment="1">
      <alignment horizontal="left" vertical="center" wrapText="1"/>
    </xf>
    <xf numFmtId="0" fontId="66" fillId="39" borderId="29" xfId="0" applyFont="1" applyFill="1" applyBorder="1" applyAlignment="1">
      <alignment horizontal="left" vertical="center" wrapText="1"/>
    </xf>
    <xf numFmtId="166" fontId="66" fillId="38" borderId="87" xfId="0" applyNumberFormat="1" applyFont="1" applyFill="1" applyBorder="1" applyAlignment="1">
      <alignment horizontal="center" vertical="center"/>
    </xf>
    <xf numFmtId="166" fontId="66" fillId="38" borderId="24" xfId="0" applyNumberFormat="1" applyFont="1" applyFill="1" applyBorder="1" applyAlignment="1">
      <alignment horizontal="center" vertical="center"/>
    </xf>
    <xf numFmtId="165" fontId="61" fillId="0" borderId="78" xfId="0" applyNumberFormat="1" applyFont="1" applyFill="1" applyBorder="1" applyAlignment="1">
      <alignment horizontal="center" vertical="center" wrapText="1"/>
    </xf>
    <xf numFmtId="165" fontId="61" fillId="0" borderId="61" xfId="0" applyNumberFormat="1" applyFont="1" applyFill="1" applyBorder="1" applyAlignment="1">
      <alignment horizontal="center" vertical="center" wrapText="1"/>
    </xf>
    <xf numFmtId="165" fontId="61" fillId="0" borderId="0" xfId="0" applyNumberFormat="1" applyFont="1" applyFill="1" applyBorder="1" applyAlignment="1">
      <alignment horizontal="center" vertical="center" wrapText="1"/>
    </xf>
    <xf numFmtId="165" fontId="61" fillId="0" borderId="57" xfId="0" applyNumberFormat="1" applyFont="1" applyFill="1" applyBorder="1" applyAlignment="1">
      <alignment horizontal="center" vertical="center" wrapText="1"/>
    </xf>
    <xf numFmtId="0" fontId="63" fillId="0" borderId="58" xfId="0" applyFont="1" applyFill="1" applyBorder="1" applyAlignment="1">
      <alignment horizontal="left" vertical="center" wrapText="1"/>
    </xf>
    <xf numFmtId="0" fontId="63" fillId="0" borderId="53" xfId="0" applyFont="1" applyFill="1" applyBorder="1" applyAlignment="1">
      <alignment horizontal="left" vertical="center" wrapText="1"/>
    </xf>
    <xf numFmtId="0" fontId="66" fillId="39" borderId="72" xfId="0" applyFont="1" applyFill="1" applyBorder="1" applyAlignment="1">
      <alignment horizontal="left" vertical="center" wrapText="1"/>
    </xf>
    <xf numFmtId="0" fontId="66" fillId="39" borderId="61" xfId="0" applyFont="1" applyFill="1" applyBorder="1" applyAlignment="1">
      <alignment horizontal="left" vertical="center" wrapText="1"/>
    </xf>
    <xf numFmtId="0" fontId="66" fillId="39" borderId="71" xfId="0" applyFont="1" applyFill="1" applyBorder="1" applyAlignment="1">
      <alignment horizontal="left" vertical="center" wrapText="1"/>
    </xf>
    <xf numFmtId="0" fontId="66" fillId="39" borderId="57" xfId="0" applyFont="1" applyFill="1" applyBorder="1" applyAlignment="1">
      <alignment horizontal="left" vertical="center" wrapText="1"/>
    </xf>
    <xf numFmtId="0" fontId="66" fillId="39" borderId="58" xfId="0" applyFont="1" applyFill="1" applyBorder="1" applyAlignment="1">
      <alignment horizontal="left" vertical="center" wrapText="1"/>
    </xf>
    <xf numFmtId="0" fontId="66" fillId="39" borderId="25" xfId="0" applyFont="1" applyFill="1" applyBorder="1" applyAlignment="1">
      <alignment horizontal="left" vertical="center" wrapText="1"/>
    </xf>
    <xf numFmtId="0" fontId="59" fillId="0" borderId="43" xfId="0" applyFont="1" applyBorder="1" applyAlignment="1">
      <alignment horizontal="left" vertical="center"/>
    </xf>
    <xf numFmtId="0" fontId="59" fillId="0" borderId="70" xfId="0" applyFont="1" applyBorder="1" applyAlignment="1">
      <alignment horizontal="left" vertical="center"/>
    </xf>
    <xf numFmtId="0" fontId="59" fillId="0" borderId="41" xfId="0" applyFont="1" applyBorder="1" applyAlignment="1">
      <alignment horizontal="left" vertical="center"/>
    </xf>
    <xf numFmtId="0" fontId="16" fillId="39" borderId="89" xfId="0" applyFont="1" applyFill="1" applyBorder="1" applyAlignment="1">
      <alignment horizontal="left" vertical="center" wrapText="1"/>
    </xf>
    <xf numFmtId="0" fontId="16" fillId="39" borderId="92" xfId="0" applyFont="1" applyFill="1" applyBorder="1" applyAlignment="1">
      <alignment horizontal="left" vertical="center" wrapText="1"/>
    </xf>
    <xf numFmtId="0" fontId="16" fillId="39" borderId="30" xfId="0" applyFont="1" applyFill="1" applyBorder="1" applyAlignment="1">
      <alignment horizontal="left" vertical="center" wrapText="1"/>
    </xf>
    <xf numFmtId="0" fontId="16" fillId="39" borderId="16" xfId="0" applyFont="1" applyFill="1" applyBorder="1" applyAlignment="1">
      <alignment horizontal="left" vertical="center" wrapText="1"/>
    </xf>
    <xf numFmtId="165" fontId="62" fillId="0" borderId="72" xfId="0" applyNumberFormat="1" applyFont="1" applyBorder="1" applyAlignment="1">
      <alignment horizontal="left"/>
    </xf>
    <xf numFmtId="165" fontId="62" fillId="0" borderId="78" xfId="0" applyNumberFormat="1" applyFont="1" applyBorder="1" applyAlignment="1">
      <alignment horizontal="left"/>
    </xf>
    <xf numFmtId="165" fontId="59" fillId="0" borderId="58" xfId="0" applyNumberFormat="1" applyFont="1" applyBorder="1" applyAlignment="1">
      <alignment horizontal="left"/>
    </xf>
    <xf numFmtId="165" fontId="59" fillId="0" borderId="53" xfId="0" applyNumberFormat="1" applyFont="1" applyBorder="1" applyAlignment="1">
      <alignment horizontal="left"/>
    </xf>
    <xf numFmtId="0" fontId="70" fillId="38" borderId="58" xfId="0" applyFont="1" applyFill="1" applyBorder="1" applyAlignment="1">
      <alignment horizontal="right" vertical="center" wrapText="1"/>
    </xf>
    <xf numFmtId="0" fontId="70" fillId="38" borderId="53" xfId="0" applyFont="1" applyFill="1" applyBorder="1" applyAlignment="1">
      <alignment horizontal="right" vertical="center" wrapText="1"/>
    </xf>
    <xf numFmtId="0" fontId="62" fillId="46" borderId="87" xfId="0" applyFont="1" applyFill="1" applyBorder="1" applyAlignment="1">
      <alignment horizontal="left" vertical="center" wrapText="1"/>
    </xf>
    <xf numFmtId="0" fontId="62" fillId="46" borderId="24" xfId="0" applyFont="1" applyFill="1" applyBorder="1" applyAlignment="1">
      <alignment horizontal="left" vertical="center" wrapText="1"/>
    </xf>
    <xf numFmtId="0" fontId="61" fillId="45" borderId="93" xfId="0" applyFont="1" applyFill="1" applyBorder="1" applyAlignment="1">
      <alignment horizontal="center" vertical="center"/>
    </xf>
    <xf numFmtId="0" fontId="61" fillId="45" borderId="96" xfId="0" applyFont="1" applyFill="1" applyBorder="1" applyAlignment="1">
      <alignment horizontal="center" vertical="center"/>
    </xf>
    <xf numFmtId="49" fontId="72" fillId="45" borderId="92" xfId="0" applyNumberFormat="1" applyFont="1" applyFill="1" applyBorder="1" applyAlignment="1">
      <alignment horizontal="center" vertical="center"/>
    </xf>
    <xf numFmtId="0" fontId="62" fillId="46" borderId="58" xfId="0" applyFont="1" applyFill="1" applyBorder="1" applyAlignment="1">
      <alignment horizontal="left" vertical="center"/>
    </xf>
    <xf numFmtId="0" fontId="62" fillId="46" borderId="25" xfId="0" applyFont="1" applyFill="1" applyBorder="1" applyAlignment="1">
      <alignment horizontal="left" vertical="center"/>
    </xf>
    <xf numFmtId="0" fontId="66" fillId="39" borderId="78" xfId="0" applyFont="1" applyFill="1" applyBorder="1" applyAlignment="1">
      <alignment horizontal="justify" vertical="center" wrapText="1"/>
    </xf>
    <xf numFmtId="0" fontId="66" fillId="39" borderId="71" xfId="0" applyFont="1" applyFill="1" applyBorder="1" applyAlignment="1">
      <alignment horizontal="justify" vertical="center" wrapText="1"/>
    </xf>
    <xf numFmtId="0" fontId="66" fillId="39" borderId="0" xfId="0" applyFont="1" applyFill="1" applyBorder="1" applyAlignment="1">
      <alignment horizontal="justify" vertical="center" wrapText="1"/>
    </xf>
    <xf numFmtId="0" fontId="59" fillId="0" borderId="97"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66" fillId="39" borderId="36" xfId="0" applyFont="1" applyFill="1" applyBorder="1" applyAlignment="1">
      <alignment horizontal="left" vertical="center" wrapText="1"/>
    </xf>
    <xf numFmtId="0" fontId="66" fillId="39" borderId="69" xfId="0" applyFont="1" applyFill="1" applyBorder="1" applyAlignment="1">
      <alignment horizontal="left" vertical="center" wrapText="1"/>
    </xf>
    <xf numFmtId="165" fontId="59" fillId="0" borderId="58" xfId="0" applyNumberFormat="1" applyFont="1" applyFill="1" applyBorder="1" applyAlignment="1">
      <alignment horizontal="left" vertical="center" wrapText="1"/>
    </xf>
    <xf numFmtId="165" fontId="59" fillId="0" borderId="53" xfId="0" applyNumberFormat="1" applyFont="1" applyFill="1" applyBorder="1" applyAlignment="1">
      <alignment horizontal="left" vertical="center" wrapText="1"/>
    </xf>
    <xf numFmtId="166" fontId="66" fillId="39" borderId="87" xfId="0" applyNumberFormat="1" applyFont="1" applyFill="1" applyBorder="1" applyAlignment="1">
      <alignment horizontal="center" vertical="center"/>
    </xf>
    <xf numFmtId="166" fontId="66" fillId="39" borderId="24" xfId="0" applyNumberFormat="1" applyFont="1" applyFill="1" applyBorder="1" applyAlignment="1">
      <alignment horizontal="center" vertical="center"/>
    </xf>
    <xf numFmtId="0" fontId="70" fillId="38" borderId="87" xfId="0" applyFont="1" applyFill="1" applyBorder="1" applyAlignment="1">
      <alignment horizontal="right" vertical="center" wrapText="1"/>
    </xf>
    <xf numFmtId="0" fontId="70" fillId="38" borderId="24" xfId="0" applyFont="1" applyFill="1" applyBorder="1" applyAlignment="1">
      <alignment horizontal="right" vertical="center" wrapText="1"/>
    </xf>
    <xf numFmtId="0" fontId="62" fillId="46" borderId="87" xfId="0" applyFont="1" applyFill="1" applyBorder="1" applyAlignment="1">
      <alignment horizontal="left" vertical="center"/>
    </xf>
    <xf numFmtId="0" fontId="62" fillId="46" borderId="24" xfId="0" applyFont="1" applyFill="1" applyBorder="1" applyAlignment="1">
      <alignment horizontal="left" vertical="center"/>
    </xf>
    <xf numFmtId="165" fontId="59" fillId="0" borderId="0" xfId="0" applyNumberFormat="1" applyFont="1" applyBorder="1" applyAlignment="1">
      <alignment wrapText="1"/>
    </xf>
    <xf numFmtId="0" fontId="18" fillId="46" borderId="87" xfId="0" applyFont="1" applyFill="1" applyBorder="1" applyAlignment="1">
      <alignment horizontal="left" vertical="center" wrapText="1"/>
    </xf>
    <xf numFmtId="0" fontId="18" fillId="46" borderId="24" xfId="0" applyFont="1" applyFill="1" applyBorder="1" applyAlignment="1">
      <alignment horizontal="left" vertical="center" wrapText="1"/>
    </xf>
    <xf numFmtId="0" fontId="4" fillId="33" borderId="72"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16" fillId="39" borderId="72" xfId="0" applyFont="1" applyFill="1" applyBorder="1" applyAlignment="1">
      <alignment horizontal="justify" vertical="center" wrapText="1"/>
    </xf>
    <xf numFmtId="0" fontId="16" fillId="39" borderId="78" xfId="0" applyFont="1" applyFill="1" applyBorder="1" applyAlignment="1">
      <alignment horizontal="justify" vertical="center" wrapText="1"/>
    </xf>
    <xf numFmtId="0" fontId="16" fillId="39" borderId="71" xfId="0" applyFont="1" applyFill="1" applyBorder="1" applyAlignment="1">
      <alignment horizontal="justify" vertical="center" wrapText="1"/>
    </xf>
    <xf numFmtId="0" fontId="16" fillId="39" borderId="0" xfId="0" applyFont="1" applyFill="1" applyBorder="1" applyAlignment="1">
      <alignment horizontal="justify" vertical="center" wrapText="1"/>
    </xf>
    <xf numFmtId="0" fontId="16" fillId="39" borderId="58" xfId="0" applyFont="1" applyFill="1" applyBorder="1" applyAlignment="1">
      <alignment horizontal="justify" vertical="center" wrapText="1"/>
    </xf>
    <xf numFmtId="0" fontId="16" fillId="39" borderId="53" xfId="0" applyFont="1" applyFill="1" applyBorder="1" applyAlignment="1">
      <alignment horizontal="justify" vertical="center" wrapText="1"/>
    </xf>
    <xf numFmtId="165" fontId="62" fillId="0" borderId="71" xfId="0" applyNumberFormat="1" applyFont="1" applyFill="1" applyBorder="1" applyAlignment="1">
      <alignment horizontal="left" vertical="center" wrapText="1"/>
    </xf>
    <xf numFmtId="0" fontId="59" fillId="0" borderId="0" xfId="0" applyFont="1" applyBorder="1" applyAlignment="1">
      <alignment wrapText="1"/>
    </xf>
    <xf numFmtId="0" fontId="59" fillId="0" borderId="98" xfId="0" applyFont="1" applyFill="1" applyBorder="1" applyAlignment="1">
      <alignment horizontal="left" vertical="center" wrapText="1"/>
    </xf>
    <xf numFmtId="0" fontId="59" fillId="0" borderId="0" xfId="0" applyFont="1" applyFill="1" applyBorder="1" applyAlignment="1">
      <alignment horizontal="left" vertical="center" wrapText="1"/>
    </xf>
    <xf numFmtId="165" fontId="59" fillId="0" borderId="58" xfId="0" applyNumberFormat="1" applyFont="1" applyFill="1" applyBorder="1" applyAlignment="1">
      <alignment horizontal="left" vertical="center"/>
    </xf>
    <xf numFmtId="165" fontId="59" fillId="0" borderId="53" xfId="0" applyNumberFormat="1" applyFont="1" applyFill="1" applyBorder="1" applyAlignment="1">
      <alignment horizontal="left" vertical="center"/>
    </xf>
    <xf numFmtId="0" fontId="4" fillId="33" borderId="56" xfId="0" applyFont="1" applyFill="1" applyBorder="1" applyAlignment="1">
      <alignment horizontal="left" vertical="center" wrapText="1"/>
    </xf>
    <xf numFmtId="0" fontId="4" fillId="33" borderId="70" xfId="0" applyFont="1" applyFill="1" applyBorder="1" applyAlignment="1">
      <alignment horizontal="left" vertical="center" wrapText="1"/>
    </xf>
    <xf numFmtId="0" fontId="18" fillId="46" borderId="58" xfId="0" applyFont="1" applyFill="1" applyBorder="1" applyAlignment="1">
      <alignment horizontal="justify" vertical="center" wrapText="1"/>
    </xf>
    <xf numFmtId="0" fontId="18" fillId="46" borderId="25" xfId="0" applyFont="1" applyFill="1" applyBorder="1" applyAlignment="1">
      <alignment horizontal="justify" vertical="center" wrapText="1"/>
    </xf>
    <xf numFmtId="0" fontId="59" fillId="0" borderId="58" xfId="0" applyFont="1" applyFill="1" applyBorder="1" applyAlignment="1">
      <alignment horizontal="left" vertical="center" wrapText="1"/>
    </xf>
    <xf numFmtId="0" fontId="66" fillId="40" borderId="87" xfId="0" applyFont="1" applyFill="1" applyBorder="1" applyAlignment="1">
      <alignment horizontal="right" vertical="center" wrapText="1"/>
    </xf>
    <xf numFmtId="0" fontId="66" fillId="40" borderId="24" xfId="0" applyFont="1" applyFill="1" applyBorder="1" applyAlignment="1">
      <alignment horizontal="right" vertical="center" wrapText="1"/>
    </xf>
    <xf numFmtId="166" fontId="66" fillId="40" borderId="87" xfId="0" applyNumberFormat="1" applyFont="1" applyFill="1" applyBorder="1" applyAlignment="1">
      <alignment horizontal="right" vertical="center"/>
    </xf>
    <xf numFmtId="166" fontId="66" fillId="40" borderId="73" xfId="0" applyNumberFormat="1" applyFont="1" applyFill="1" applyBorder="1" applyAlignment="1">
      <alignment horizontal="right" vertical="center"/>
    </xf>
    <xf numFmtId="0" fontId="59" fillId="0" borderId="72" xfId="0" applyFont="1" applyBorder="1" applyAlignment="1">
      <alignment horizontal="left" vertical="center" wrapText="1"/>
    </xf>
    <xf numFmtId="0" fontId="59" fillId="0" borderId="71" xfId="0" applyFont="1" applyBorder="1" applyAlignment="1">
      <alignment horizontal="left" vertical="center" wrapText="1"/>
    </xf>
    <xf numFmtId="0" fontId="59" fillId="0" borderId="58" xfId="0" applyFont="1" applyBorder="1" applyAlignment="1">
      <alignment horizontal="left" vertical="center" wrapText="1"/>
    </xf>
    <xf numFmtId="0" fontId="71" fillId="40" borderId="73" xfId="0" applyFont="1" applyFill="1" applyBorder="1" applyAlignment="1">
      <alignment horizontal="center" vertical="center" wrapText="1"/>
    </xf>
    <xf numFmtId="0" fontId="66" fillId="40" borderId="72" xfId="0" applyFont="1" applyFill="1" applyBorder="1" applyAlignment="1">
      <alignment horizontal="justify" vertical="center" wrapText="1"/>
    </xf>
    <xf numFmtId="0" fontId="66" fillId="40" borderId="61" xfId="0" applyFont="1" applyFill="1" applyBorder="1" applyAlignment="1">
      <alignment horizontal="justify" vertical="center" wrapText="1"/>
    </xf>
    <xf numFmtId="0" fontId="66" fillId="40" borderId="71" xfId="0" applyFont="1" applyFill="1" applyBorder="1" applyAlignment="1">
      <alignment horizontal="justify" vertical="center" wrapText="1"/>
    </xf>
    <xf numFmtId="0" fontId="66" fillId="40" borderId="57" xfId="0" applyFont="1" applyFill="1" applyBorder="1" applyAlignment="1">
      <alignment horizontal="justify" vertical="center" wrapText="1"/>
    </xf>
    <xf numFmtId="0" fontId="66" fillId="40" borderId="58" xfId="0" applyFont="1" applyFill="1" applyBorder="1" applyAlignment="1">
      <alignment horizontal="justify" vertical="center" wrapText="1"/>
    </xf>
    <xf numFmtId="0" fontId="66" fillId="40" borderId="25" xfId="0" applyFont="1" applyFill="1" applyBorder="1" applyAlignment="1">
      <alignment horizontal="justify" vertical="center" wrapText="1"/>
    </xf>
    <xf numFmtId="0" fontId="59" fillId="0" borderId="71" xfId="0" applyFont="1" applyFill="1" applyBorder="1" applyAlignment="1">
      <alignment horizontal="left" vertical="center" wrapText="1"/>
    </xf>
    <xf numFmtId="0" fontId="59" fillId="0" borderId="41" xfId="0" applyFont="1" applyBorder="1" applyAlignment="1">
      <alignment horizontal="left" vertical="center" wrapText="1"/>
    </xf>
    <xf numFmtId="166" fontId="62" fillId="18" borderId="73" xfId="0" applyNumberFormat="1" applyFont="1" applyFill="1" applyBorder="1" applyAlignment="1">
      <alignment horizontal="right" vertical="center" wrapText="1"/>
    </xf>
    <xf numFmtId="0" fontId="62" fillId="18" borderId="58" xfId="0" applyFont="1" applyFill="1" applyBorder="1" applyAlignment="1">
      <alignment horizontal="justify" vertical="center" wrapText="1"/>
    </xf>
    <xf numFmtId="0" fontId="62" fillId="18" borderId="25" xfId="0" applyFont="1" applyFill="1" applyBorder="1" applyAlignment="1">
      <alignment horizontal="justify" vertical="center" wrapText="1"/>
    </xf>
    <xf numFmtId="166" fontId="62" fillId="18" borderId="87" xfId="0" applyNumberFormat="1" applyFont="1" applyFill="1" applyBorder="1" applyAlignment="1">
      <alignment horizontal="right" vertical="center" wrapText="1"/>
    </xf>
    <xf numFmtId="166" fontId="62" fillId="18" borderId="24" xfId="0" applyNumberFormat="1" applyFont="1" applyFill="1" applyBorder="1" applyAlignment="1">
      <alignment horizontal="right" vertical="center" wrapText="1"/>
    </xf>
    <xf numFmtId="0" fontId="62" fillId="18" borderId="71" xfId="0" applyFont="1" applyFill="1" applyBorder="1" applyAlignment="1">
      <alignment horizontal="justify" vertical="center" wrapText="1"/>
    </xf>
    <xf numFmtId="0" fontId="66" fillId="40" borderId="72" xfId="0" applyFont="1" applyFill="1" applyBorder="1" applyAlignment="1">
      <alignment horizontal="left" vertical="center" wrapText="1"/>
    </xf>
    <xf numFmtId="0" fontId="66" fillId="40" borderId="78" xfId="0" applyFont="1" applyFill="1" applyBorder="1" applyAlignment="1">
      <alignment horizontal="left" vertical="center" wrapText="1"/>
    </xf>
    <xf numFmtId="0" fontId="66" fillId="40" borderId="71" xfId="0" applyFont="1" applyFill="1" applyBorder="1" applyAlignment="1">
      <alignment horizontal="left" vertical="center" wrapText="1"/>
    </xf>
    <xf numFmtId="0" fontId="66" fillId="40" borderId="0" xfId="0" applyFont="1" applyFill="1" applyBorder="1" applyAlignment="1">
      <alignment horizontal="left" vertical="center" wrapText="1"/>
    </xf>
    <xf numFmtId="0" fontId="62" fillId="18" borderId="87" xfId="0" applyFont="1" applyFill="1" applyBorder="1" applyAlignment="1">
      <alignment horizontal="justify" vertical="center" wrapText="1"/>
    </xf>
    <xf numFmtId="0" fontId="62" fillId="18" borderId="24" xfId="0" applyFont="1" applyFill="1" applyBorder="1" applyAlignment="1">
      <alignment horizontal="justify" vertical="center" wrapText="1"/>
    </xf>
    <xf numFmtId="166" fontId="62" fillId="18" borderId="58" xfId="0" applyNumberFormat="1" applyFont="1" applyFill="1" applyBorder="1" applyAlignment="1">
      <alignment horizontal="right" vertical="center" wrapText="1"/>
    </xf>
    <xf numFmtId="166" fontId="62" fillId="18" borderId="53" xfId="0" applyNumberFormat="1" applyFont="1" applyFill="1" applyBorder="1" applyAlignment="1">
      <alignment horizontal="right" vertical="center" wrapText="1"/>
    </xf>
    <xf numFmtId="166" fontId="62" fillId="18" borderId="25" xfId="0" applyNumberFormat="1" applyFont="1" applyFill="1" applyBorder="1" applyAlignment="1">
      <alignment horizontal="right" vertical="center" wrapText="1"/>
    </xf>
    <xf numFmtId="0" fontId="66" fillId="40" borderId="58" xfId="0" applyFont="1" applyFill="1" applyBorder="1" applyAlignment="1">
      <alignment horizontal="left" vertical="center" wrapText="1"/>
    </xf>
    <xf numFmtId="0" fontId="66" fillId="40" borderId="53" xfId="0" applyFont="1" applyFill="1" applyBorder="1" applyAlignment="1">
      <alignment horizontal="left" vertical="center" wrapText="1"/>
    </xf>
    <xf numFmtId="0" fontId="62" fillId="18" borderId="58" xfId="0" applyFont="1" applyFill="1" applyBorder="1" applyAlignment="1">
      <alignment horizontal="left" vertical="center"/>
    </xf>
    <xf numFmtId="0" fontId="62" fillId="18" borderId="57" xfId="0" applyFont="1" applyFill="1" applyBorder="1" applyAlignment="1">
      <alignment horizontal="left" vertical="center"/>
    </xf>
    <xf numFmtId="0" fontId="62" fillId="18" borderId="53" xfId="0" applyFont="1" applyFill="1" applyBorder="1" applyAlignment="1">
      <alignment horizontal="left" vertical="center"/>
    </xf>
    <xf numFmtId="0" fontId="62" fillId="18" borderId="87" xfId="0" applyFont="1" applyFill="1" applyBorder="1" applyAlignment="1">
      <alignment horizontal="left" vertical="center" wrapText="1"/>
    </xf>
    <xf numFmtId="0" fontId="62" fillId="18" borderId="25" xfId="0" applyFont="1" applyFill="1" applyBorder="1" applyAlignment="1">
      <alignment horizontal="left" vertical="center" wrapText="1"/>
    </xf>
    <xf numFmtId="0" fontId="59" fillId="0" borderId="56" xfId="0" applyFont="1" applyBorder="1" applyAlignment="1">
      <alignment horizontal="center" vertical="center" wrapText="1"/>
    </xf>
    <xf numFmtId="0" fontId="59" fillId="0" borderId="70" xfId="0" applyFont="1" applyBorder="1" applyAlignment="1">
      <alignment horizontal="center" vertical="center" wrapText="1"/>
    </xf>
    <xf numFmtId="0" fontId="59" fillId="0" borderId="59" xfId="0" applyFont="1" applyBorder="1" applyAlignment="1">
      <alignment horizontal="center" vertical="center" wrapText="1"/>
    </xf>
    <xf numFmtId="166" fontId="59" fillId="0" borderId="57" xfId="0" applyNumberFormat="1" applyFont="1" applyFill="1" applyBorder="1" applyAlignment="1">
      <alignment horizontal="left" vertical="center" wrapText="1"/>
    </xf>
    <xf numFmtId="0" fontId="71" fillId="41" borderId="87" xfId="0" applyFont="1" applyFill="1" applyBorder="1" applyAlignment="1">
      <alignment horizontal="center" vertical="center" wrapText="1"/>
    </xf>
    <xf numFmtId="0" fontId="71" fillId="41" borderId="73" xfId="0" applyFont="1" applyFill="1" applyBorder="1" applyAlignment="1">
      <alignment horizontal="center" vertical="center" wrapText="1"/>
    </xf>
    <xf numFmtId="0" fontId="71" fillId="41" borderId="53" xfId="0" applyFont="1" applyFill="1" applyBorder="1" applyAlignment="1">
      <alignment horizontal="center" vertical="center" wrapText="1"/>
    </xf>
    <xf numFmtId="0" fontId="71" fillId="41" borderId="25" xfId="0" applyFont="1" applyFill="1" applyBorder="1" applyAlignment="1">
      <alignment horizontal="center" vertical="center" wrapText="1"/>
    </xf>
    <xf numFmtId="0" fontId="66" fillId="41" borderId="72" xfId="0" applyFont="1" applyFill="1" applyBorder="1" applyAlignment="1">
      <alignment horizontal="left" vertical="center" wrapText="1"/>
    </xf>
    <xf numFmtId="0" fontId="66" fillId="41" borderId="78" xfId="0" applyFont="1" applyFill="1" applyBorder="1" applyAlignment="1">
      <alignment horizontal="left" vertical="center" wrapText="1"/>
    </xf>
    <xf numFmtId="0" fontId="66" fillId="41" borderId="71" xfId="0" applyFont="1" applyFill="1" applyBorder="1" applyAlignment="1">
      <alignment horizontal="left" vertical="center" wrapText="1"/>
    </xf>
    <xf numFmtId="0" fontId="66" fillId="41" borderId="0" xfId="0" applyFont="1" applyFill="1" applyBorder="1" applyAlignment="1">
      <alignment horizontal="left" vertical="center" wrapText="1"/>
    </xf>
    <xf numFmtId="166" fontId="66" fillId="38" borderId="73" xfId="0" applyNumberFormat="1" applyFont="1" applyFill="1" applyBorder="1" applyAlignment="1">
      <alignment horizontal="center" vertical="center"/>
    </xf>
    <xf numFmtId="166" fontId="66" fillId="41" borderId="87" xfId="0" applyNumberFormat="1" applyFont="1" applyFill="1" applyBorder="1" applyAlignment="1">
      <alignment horizontal="center" vertical="center"/>
    </xf>
    <xf numFmtId="166" fontId="66" fillId="41" borderId="24" xfId="0" applyNumberFormat="1" applyFont="1" applyFill="1" applyBorder="1" applyAlignment="1">
      <alignment horizontal="center" vertical="center"/>
    </xf>
    <xf numFmtId="166" fontId="62" fillId="47" borderId="87" xfId="0" applyNumberFormat="1" applyFont="1" applyFill="1" applyBorder="1" applyAlignment="1">
      <alignment horizontal="center" vertical="center"/>
    </xf>
    <xf numFmtId="166" fontId="62" fillId="47" borderId="24" xfId="0" applyNumberFormat="1" applyFont="1" applyFill="1" applyBorder="1" applyAlignment="1">
      <alignment horizontal="center" vertical="center"/>
    </xf>
    <xf numFmtId="166" fontId="62" fillId="47" borderId="53" xfId="0" applyNumberFormat="1" applyFont="1" applyFill="1" applyBorder="1" applyAlignment="1">
      <alignment horizontal="right" vertical="center" wrapText="1"/>
    </xf>
    <xf numFmtId="0" fontId="18" fillId="47" borderId="58" xfId="0" applyFont="1" applyFill="1" applyBorder="1" applyAlignment="1">
      <alignment horizontal="left" vertical="center"/>
    </xf>
    <xf numFmtId="0" fontId="18" fillId="47" borderId="25" xfId="0" applyFont="1" applyFill="1" applyBorder="1" applyAlignment="1">
      <alignment horizontal="left" vertical="center"/>
    </xf>
    <xf numFmtId="166" fontId="62" fillId="47" borderId="87" xfId="0" applyNumberFormat="1" applyFont="1" applyFill="1" applyBorder="1" applyAlignment="1">
      <alignment horizontal="right" vertical="center" wrapText="1"/>
    </xf>
    <xf numFmtId="166" fontId="62" fillId="47" borderId="73" xfId="0" applyNumberFormat="1" applyFont="1" applyFill="1" applyBorder="1" applyAlignment="1">
      <alignment horizontal="right" vertical="center" wrapText="1"/>
    </xf>
    <xf numFmtId="166" fontId="62" fillId="47" borderId="24" xfId="0" applyNumberFormat="1" applyFont="1" applyFill="1" applyBorder="1" applyAlignment="1">
      <alignment horizontal="right" vertical="center" wrapText="1"/>
    </xf>
    <xf numFmtId="0" fontId="66" fillId="41" borderId="87" xfId="0" applyFont="1" applyFill="1" applyBorder="1" applyAlignment="1">
      <alignment horizontal="right" vertical="center" wrapText="1"/>
    </xf>
    <xf numFmtId="0" fontId="66" fillId="41" borderId="24" xfId="0" applyFont="1" applyFill="1" applyBorder="1" applyAlignment="1">
      <alignment horizontal="right" vertical="center" wrapText="1"/>
    </xf>
    <xf numFmtId="166" fontId="66" fillId="41" borderId="87" xfId="0" applyNumberFormat="1" applyFont="1" applyFill="1" applyBorder="1" applyAlignment="1">
      <alignment horizontal="right" vertical="center"/>
    </xf>
    <xf numFmtId="166" fontId="66" fillId="41" borderId="73" xfId="0" applyNumberFormat="1" applyFont="1" applyFill="1" applyBorder="1" applyAlignment="1">
      <alignment horizontal="right" vertical="center"/>
    </xf>
    <xf numFmtId="0" fontId="62" fillId="47" borderId="58" xfId="0" applyFont="1" applyFill="1" applyBorder="1" applyAlignment="1">
      <alignment horizontal="left" vertical="center"/>
    </xf>
    <xf numFmtId="0" fontId="62" fillId="47" borderId="25" xfId="0" applyFont="1" applyFill="1" applyBorder="1" applyAlignment="1">
      <alignment horizontal="left" vertical="center"/>
    </xf>
    <xf numFmtId="166" fontId="62" fillId="47" borderId="58" xfId="0" applyNumberFormat="1" applyFont="1" applyFill="1" applyBorder="1" applyAlignment="1">
      <alignment horizontal="right" vertical="center" wrapText="1"/>
    </xf>
    <xf numFmtId="166" fontId="62" fillId="47" borderId="25" xfId="0" applyNumberFormat="1" applyFont="1" applyFill="1" applyBorder="1" applyAlignment="1">
      <alignment horizontal="right" vertical="center" wrapText="1"/>
    </xf>
    <xf numFmtId="165" fontId="4" fillId="0" borderId="71" xfId="0" applyNumberFormat="1" applyFont="1" applyFill="1" applyBorder="1" applyAlignment="1">
      <alignment horizontal="left" vertical="center" wrapText="1"/>
    </xf>
    <xf numFmtId="165" fontId="4" fillId="0" borderId="0" xfId="0" applyNumberFormat="1" applyFont="1" applyFill="1" applyBorder="1" applyAlignment="1">
      <alignment horizontal="left" vertical="center" wrapText="1"/>
    </xf>
    <xf numFmtId="166" fontId="66" fillId="41" borderId="24" xfId="0" applyNumberFormat="1" applyFont="1" applyFill="1" applyBorder="1" applyAlignment="1">
      <alignment horizontal="right" vertical="center"/>
    </xf>
    <xf numFmtId="0" fontId="66" fillId="48" borderId="72" xfId="0" applyFont="1" applyFill="1" applyBorder="1" applyAlignment="1">
      <alignment horizontal="justify" vertical="center" wrapText="1"/>
    </xf>
    <xf numFmtId="0" fontId="66" fillId="48" borderId="61" xfId="0" applyFont="1" applyFill="1" applyBorder="1" applyAlignment="1">
      <alignment horizontal="justify" vertical="center" wrapText="1"/>
    </xf>
    <xf numFmtId="0" fontId="66" fillId="48" borderId="71" xfId="0" applyFont="1" applyFill="1" applyBorder="1" applyAlignment="1">
      <alignment horizontal="justify" vertical="center" wrapText="1"/>
    </xf>
    <xf numFmtId="0" fontId="66" fillId="48" borderId="57" xfId="0" applyFont="1" applyFill="1" applyBorder="1" applyAlignment="1">
      <alignment horizontal="justify" vertical="center" wrapText="1"/>
    </xf>
    <xf numFmtId="165" fontId="59" fillId="0" borderId="32" xfId="0" applyNumberFormat="1" applyFont="1" applyFill="1" applyBorder="1" applyAlignment="1">
      <alignment horizontal="left" vertical="center" wrapText="1"/>
    </xf>
    <xf numFmtId="165" fontId="59" fillId="0" borderId="26" xfId="0" applyNumberFormat="1" applyFont="1" applyBorder="1" applyAlignment="1">
      <alignment wrapText="1"/>
    </xf>
    <xf numFmtId="165" fontId="59" fillId="0" borderId="68" xfId="0" applyNumberFormat="1" applyFont="1" applyBorder="1" applyAlignment="1">
      <alignment wrapText="1"/>
    </xf>
    <xf numFmtId="0" fontId="46" fillId="45" borderId="56" xfId="0" applyFont="1" applyFill="1" applyBorder="1" applyAlignment="1">
      <alignment horizontal="center" vertical="center"/>
    </xf>
    <xf numFmtId="0" fontId="46" fillId="45" borderId="59" xfId="0" applyFont="1" applyFill="1" applyBorder="1" applyAlignment="1">
      <alignment horizontal="center" vertical="center"/>
    </xf>
    <xf numFmtId="0" fontId="46" fillId="45" borderId="61" xfId="0" applyFont="1" applyFill="1" applyBorder="1" applyAlignment="1">
      <alignment horizontal="center" vertical="center" wrapText="1"/>
    </xf>
    <xf numFmtId="0" fontId="46" fillId="45" borderId="25" xfId="0" applyFont="1" applyFill="1" applyBorder="1" applyAlignment="1">
      <alignment horizontal="center" vertical="center" wrapText="1"/>
    </xf>
    <xf numFmtId="165" fontId="61" fillId="0" borderId="71" xfId="0" applyNumberFormat="1" applyFont="1" applyFill="1" applyBorder="1" applyAlignment="1">
      <alignment horizontal="left" vertical="center" wrapText="1"/>
    </xf>
    <xf numFmtId="165" fontId="61" fillId="0" borderId="0" xfId="0" applyNumberFormat="1" applyFont="1" applyFill="1" applyBorder="1" applyAlignment="1">
      <alignment horizontal="left" vertical="center" wrapText="1"/>
    </xf>
    <xf numFmtId="0" fontId="18" fillId="47" borderId="58" xfId="0" applyFont="1" applyFill="1" applyBorder="1" applyAlignment="1">
      <alignment horizontal="justify" vertical="center" wrapText="1"/>
    </xf>
    <xf numFmtId="0" fontId="18" fillId="47" borderId="57" xfId="0" applyFont="1" applyFill="1" applyBorder="1" applyAlignment="1">
      <alignment horizontal="justify" vertical="center" wrapText="1"/>
    </xf>
    <xf numFmtId="0" fontId="71" fillId="48" borderId="87" xfId="0" applyFont="1" applyFill="1" applyBorder="1" applyAlignment="1">
      <alignment horizontal="center" vertical="center" wrapText="1"/>
    </xf>
    <xf numFmtId="0" fontId="71" fillId="48" borderId="73" xfId="0" applyFont="1" applyFill="1" applyBorder="1" applyAlignment="1">
      <alignment horizontal="center" vertical="center" wrapText="1"/>
    </xf>
    <xf numFmtId="0" fontId="71" fillId="48" borderId="24" xfId="0" applyFont="1" applyFill="1" applyBorder="1" applyAlignment="1">
      <alignment horizontal="center" vertical="center" wrapText="1"/>
    </xf>
    <xf numFmtId="166" fontId="62" fillId="42" borderId="87" xfId="0" applyNumberFormat="1" applyFont="1" applyFill="1" applyBorder="1" applyAlignment="1">
      <alignment horizontal="center" vertical="center"/>
    </xf>
    <xf numFmtId="166" fontId="62" fillId="42" borderId="24" xfId="0" applyNumberFormat="1" applyFont="1" applyFill="1" applyBorder="1" applyAlignment="1">
      <alignment horizontal="center" vertical="center"/>
    </xf>
    <xf numFmtId="166" fontId="66" fillId="48" borderId="87" xfId="0" applyNumberFormat="1" applyFont="1" applyFill="1" applyBorder="1" applyAlignment="1">
      <alignment horizontal="center" vertical="center"/>
    </xf>
    <xf numFmtId="166" fontId="66" fillId="48" borderId="24" xfId="0" applyNumberFormat="1" applyFont="1" applyFill="1" applyBorder="1" applyAlignment="1">
      <alignment horizontal="center" vertical="center"/>
    </xf>
    <xf numFmtId="0" fontId="62" fillId="49" borderId="58" xfId="0" applyFont="1" applyFill="1" applyBorder="1" applyAlignment="1">
      <alignment horizontal="left" vertical="center"/>
    </xf>
    <xf numFmtId="0" fontId="62" fillId="49" borderId="25" xfId="0" applyFont="1" applyFill="1" applyBorder="1" applyAlignment="1">
      <alignment horizontal="left" vertical="center"/>
    </xf>
    <xf numFmtId="166" fontId="62" fillId="49" borderId="87" xfId="0" applyNumberFormat="1" applyFont="1" applyFill="1" applyBorder="1" applyAlignment="1">
      <alignment horizontal="right" vertical="center" wrapText="1"/>
    </xf>
    <xf numFmtId="166" fontId="62" fillId="49" borderId="73" xfId="0" applyNumberFormat="1" applyFont="1" applyFill="1" applyBorder="1" applyAlignment="1">
      <alignment horizontal="right" vertical="center" wrapText="1"/>
    </xf>
    <xf numFmtId="166" fontId="62" fillId="49" borderId="24" xfId="0" applyNumberFormat="1" applyFont="1" applyFill="1" applyBorder="1" applyAlignment="1">
      <alignment horizontal="right" vertical="center" wrapText="1"/>
    </xf>
    <xf numFmtId="0" fontId="66" fillId="48" borderId="87" xfId="0" applyFont="1" applyFill="1" applyBorder="1" applyAlignment="1">
      <alignment horizontal="right" vertical="center" wrapText="1"/>
    </xf>
    <xf numFmtId="0" fontId="66" fillId="48" borderId="24" xfId="0" applyFont="1" applyFill="1" applyBorder="1" applyAlignment="1">
      <alignment horizontal="right" vertical="center" wrapText="1"/>
    </xf>
    <xf numFmtId="166" fontId="66" fillId="48" borderId="87" xfId="0" applyNumberFormat="1" applyFont="1" applyFill="1" applyBorder="1" applyAlignment="1">
      <alignment horizontal="right" vertical="center"/>
    </xf>
    <xf numFmtId="166" fontId="66" fillId="48" borderId="73" xfId="0" applyNumberFormat="1" applyFont="1" applyFill="1" applyBorder="1" applyAlignment="1">
      <alignment horizontal="right" vertical="center"/>
    </xf>
    <xf numFmtId="166" fontId="62" fillId="49" borderId="58" xfId="0" applyNumberFormat="1" applyFont="1" applyFill="1" applyBorder="1" applyAlignment="1">
      <alignment horizontal="right" vertical="center" wrapText="1"/>
    </xf>
    <xf numFmtId="166" fontId="62" fillId="49" borderId="53" xfId="0" applyNumberFormat="1" applyFont="1" applyFill="1" applyBorder="1" applyAlignment="1">
      <alignment horizontal="right" vertical="center" wrapText="1"/>
    </xf>
    <xf numFmtId="166" fontId="62" fillId="49" borderId="25" xfId="0" applyNumberFormat="1" applyFont="1" applyFill="1" applyBorder="1" applyAlignment="1">
      <alignment horizontal="right" vertical="center" wrapText="1"/>
    </xf>
    <xf numFmtId="0" fontId="70" fillId="38" borderId="73" xfId="0" applyFont="1" applyFill="1" applyBorder="1" applyAlignment="1">
      <alignment horizontal="right" vertical="center" wrapText="1"/>
    </xf>
    <xf numFmtId="0" fontId="66" fillId="48" borderId="58" xfId="0" applyFont="1" applyFill="1" applyBorder="1" applyAlignment="1">
      <alignment horizontal="justify" vertical="center" wrapText="1"/>
    </xf>
    <xf numFmtId="0" fontId="66" fillId="48" borderId="25" xfId="0" applyFont="1" applyFill="1" applyBorder="1" applyAlignment="1">
      <alignment horizontal="justify" vertical="center" wrapText="1"/>
    </xf>
    <xf numFmtId="0" fontId="59" fillId="0" borderId="58" xfId="0" applyFont="1" applyBorder="1" applyAlignment="1">
      <alignment horizontal="left" vertical="center"/>
    </xf>
    <xf numFmtId="0" fontId="59" fillId="0" borderId="53" xfId="0" applyFont="1" applyBorder="1" applyAlignment="1">
      <alignment horizontal="left" vertical="center"/>
    </xf>
    <xf numFmtId="49" fontId="72" fillId="45" borderId="31" xfId="0" applyNumberFormat="1" applyFont="1" applyFill="1" applyBorder="1" applyAlignment="1">
      <alignment horizontal="center" vertical="center"/>
    </xf>
    <xf numFmtId="49" fontId="72" fillId="45" borderId="10" xfId="0" applyNumberFormat="1" applyFont="1" applyFill="1" applyBorder="1" applyAlignment="1">
      <alignment horizontal="center" vertical="center"/>
    </xf>
    <xf numFmtId="49" fontId="72" fillId="45" borderId="11" xfId="0" applyNumberFormat="1" applyFont="1" applyFill="1" applyBorder="1" applyAlignment="1">
      <alignment horizontal="center" vertical="center"/>
    </xf>
    <xf numFmtId="49" fontId="72" fillId="45" borderId="45" xfId="0" applyNumberFormat="1" applyFont="1" applyFill="1" applyBorder="1" applyAlignment="1">
      <alignment horizontal="center" vertical="center"/>
    </xf>
    <xf numFmtId="0" fontId="74" fillId="43" borderId="87" xfId="0" applyFont="1" applyFill="1" applyBorder="1" applyAlignment="1">
      <alignment horizontal="center" vertical="center" wrapText="1"/>
    </xf>
    <xf numFmtId="0" fontId="74" fillId="43" borderId="73" xfId="0" applyFont="1" applyFill="1" applyBorder="1" applyAlignment="1">
      <alignment horizontal="center" vertical="center" wrapText="1"/>
    </xf>
    <xf numFmtId="0" fontId="62" fillId="49" borderId="87" xfId="0" applyFont="1" applyFill="1" applyBorder="1" applyAlignment="1">
      <alignment horizontal="left" vertical="center"/>
    </xf>
    <xf numFmtId="0" fontId="62" fillId="49" borderId="24" xfId="0" applyFont="1" applyFill="1" applyBorder="1" applyAlignment="1">
      <alignment horizontal="left" vertical="center"/>
    </xf>
    <xf numFmtId="0" fontId="75" fillId="50" borderId="58" xfId="0" applyFont="1" applyFill="1" applyBorder="1" applyAlignment="1">
      <alignment horizontal="left" vertical="center" wrapText="1"/>
    </xf>
    <xf numFmtId="0" fontId="75" fillId="50" borderId="25" xfId="0" applyFont="1" applyFill="1" applyBorder="1" applyAlignment="1">
      <alignment horizontal="left" vertical="center" wrapText="1"/>
    </xf>
    <xf numFmtId="3" fontId="75" fillId="50" borderId="53" xfId="0" applyNumberFormat="1" applyFont="1" applyFill="1" applyBorder="1" applyAlignment="1">
      <alignment horizontal="right" vertical="center" wrapText="1"/>
    </xf>
    <xf numFmtId="0" fontId="75" fillId="50" borderId="53" xfId="0" applyFont="1" applyFill="1" applyBorder="1" applyAlignment="1">
      <alignment horizontal="right" vertical="center" wrapText="1"/>
    </xf>
    <xf numFmtId="0" fontId="75" fillId="50" borderId="25" xfId="0" applyFont="1" applyFill="1" applyBorder="1" applyAlignment="1">
      <alignment horizontal="right" vertical="center" wrapText="1"/>
    </xf>
    <xf numFmtId="3" fontId="63" fillId="0" borderId="41" xfId="0" applyNumberFormat="1" applyFont="1" applyFill="1" applyBorder="1" applyAlignment="1">
      <alignment horizontal="justify" vertical="center" wrapText="1"/>
    </xf>
    <xf numFmtId="3" fontId="63" fillId="0" borderId="34" xfId="0" applyNumberFormat="1" applyFont="1" applyFill="1" applyBorder="1" applyAlignment="1">
      <alignment horizontal="justify" vertical="center" wrapText="1"/>
    </xf>
    <xf numFmtId="3" fontId="63" fillId="0" borderId="43" xfId="0" applyNumberFormat="1" applyFont="1" applyFill="1" applyBorder="1" applyAlignment="1">
      <alignment horizontal="justify" vertical="center" wrapText="1"/>
    </xf>
    <xf numFmtId="0" fontId="76" fillId="51" borderId="72" xfId="0" applyFont="1" applyFill="1" applyBorder="1" applyAlignment="1">
      <alignment horizontal="justify" vertical="center" wrapText="1"/>
    </xf>
    <xf numFmtId="0" fontId="76" fillId="51" borderId="61" xfId="0" applyFont="1" applyFill="1" applyBorder="1" applyAlignment="1">
      <alignment horizontal="justify" vertical="center" wrapText="1"/>
    </xf>
    <xf numFmtId="0" fontId="76" fillId="51" borderId="71" xfId="0" applyFont="1" applyFill="1" applyBorder="1" applyAlignment="1">
      <alignment horizontal="justify" vertical="center" wrapText="1"/>
    </xf>
    <xf numFmtId="0" fontId="76" fillId="51" borderId="57" xfId="0" applyFont="1" applyFill="1" applyBorder="1" applyAlignment="1">
      <alignment horizontal="justify" vertical="center" wrapText="1"/>
    </xf>
    <xf numFmtId="0" fontId="75" fillId="0" borderId="78" xfId="0" applyFont="1" applyFill="1" applyBorder="1" applyAlignment="1">
      <alignment horizontal="left" vertical="center" wrapText="1"/>
    </xf>
    <xf numFmtId="0" fontId="63" fillId="34" borderId="0" xfId="0" applyFont="1" applyFill="1" applyBorder="1" applyAlignment="1">
      <alignment horizontal="left" vertical="center" wrapText="1"/>
    </xf>
    <xf numFmtId="0" fontId="66" fillId="43" borderId="87" xfId="0" applyFont="1" applyFill="1" applyBorder="1" applyAlignment="1">
      <alignment horizontal="right" vertical="center" wrapText="1"/>
    </xf>
    <xf numFmtId="0" fontId="66" fillId="43" borderId="24" xfId="0" applyFont="1" applyFill="1" applyBorder="1" applyAlignment="1">
      <alignment horizontal="right" vertical="center" wrapText="1"/>
    </xf>
    <xf numFmtId="166" fontId="66" fillId="43" borderId="87" xfId="0" applyNumberFormat="1" applyFont="1" applyFill="1" applyBorder="1" applyAlignment="1">
      <alignment horizontal="right" vertical="center"/>
    </xf>
    <xf numFmtId="166" fontId="66" fillId="43" borderId="73" xfId="0" applyNumberFormat="1" applyFont="1" applyFill="1" applyBorder="1" applyAlignment="1">
      <alignment horizontal="right" vertical="center"/>
    </xf>
    <xf numFmtId="3" fontId="75" fillId="50" borderId="87" xfId="0" applyNumberFormat="1" applyFont="1" applyFill="1" applyBorder="1" applyAlignment="1">
      <alignment horizontal="left" vertical="center" wrapText="1"/>
    </xf>
    <xf numFmtId="3" fontId="75" fillId="50" borderId="24" xfId="0" applyNumberFormat="1" applyFont="1" applyFill="1" applyBorder="1" applyAlignment="1">
      <alignment horizontal="left" vertical="center" wrapText="1"/>
    </xf>
    <xf numFmtId="3" fontId="75" fillId="50" borderId="73" xfId="0" applyNumberFormat="1" applyFont="1" applyFill="1" applyBorder="1" applyAlignment="1">
      <alignment horizontal="right" vertical="center" wrapText="1"/>
    </xf>
    <xf numFmtId="0" fontId="75" fillId="50" borderId="73" xfId="0" applyFont="1" applyFill="1" applyBorder="1" applyAlignment="1">
      <alignment horizontal="right" vertical="center" wrapText="1"/>
    </xf>
    <xf numFmtId="0" fontId="75" fillId="50" borderId="24" xfId="0" applyFont="1" applyFill="1" applyBorder="1" applyAlignment="1">
      <alignment horizontal="right" vertical="center" wrapText="1"/>
    </xf>
    <xf numFmtId="3" fontId="75" fillId="50" borderId="87" xfId="0" applyNumberFormat="1" applyFont="1" applyFill="1" applyBorder="1" applyAlignment="1">
      <alignment horizontal="right" vertical="center" wrapText="1"/>
    </xf>
    <xf numFmtId="3" fontId="63" fillId="0" borderId="56" xfId="0" applyNumberFormat="1" applyFont="1" applyFill="1" applyBorder="1" applyAlignment="1">
      <alignment horizontal="left" vertical="center" wrapText="1"/>
    </xf>
    <xf numFmtId="3" fontId="63" fillId="0" borderId="59" xfId="0" applyNumberFormat="1" applyFont="1" applyFill="1" applyBorder="1" applyAlignment="1">
      <alignment horizontal="left" vertical="center" wrapText="1"/>
    </xf>
    <xf numFmtId="166" fontId="66" fillId="43" borderId="87" xfId="0" applyNumberFormat="1" applyFont="1" applyFill="1" applyBorder="1" applyAlignment="1">
      <alignment horizontal="center" vertical="center"/>
    </xf>
    <xf numFmtId="166" fontId="66" fillId="43" borderId="24" xfId="0" applyNumberFormat="1" applyFont="1" applyFill="1" applyBorder="1" applyAlignment="1">
      <alignment horizontal="center" vertical="center"/>
    </xf>
    <xf numFmtId="3" fontId="75" fillId="50" borderId="87" xfId="0" applyNumberFormat="1" applyFont="1" applyFill="1" applyBorder="1" applyAlignment="1">
      <alignment horizontal="center" vertical="center" wrapText="1"/>
    </xf>
    <xf numFmtId="3" fontId="75" fillId="50" borderId="24" xfId="0" applyNumberFormat="1" applyFont="1" applyFill="1" applyBorder="1" applyAlignment="1">
      <alignment horizontal="center" vertical="center" wrapText="1"/>
    </xf>
    <xf numFmtId="3" fontId="76" fillId="51" borderId="72" xfId="0" applyNumberFormat="1" applyFont="1" applyFill="1" applyBorder="1" applyAlignment="1">
      <alignment horizontal="justify" vertical="center" wrapText="1"/>
    </xf>
    <xf numFmtId="3" fontId="76" fillId="51" borderId="78" xfId="0" applyNumberFormat="1" applyFont="1" applyFill="1" applyBorder="1" applyAlignment="1">
      <alignment horizontal="justify" vertical="center" wrapText="1"/>
    </xf>
    <xf numFmtId="3" fontId="76" fillId="51" borderId="58" xfId="0" applyNumberFormat="1" applyFont="1" applyFill="1" applyBorder="1" applyAlignment="1">
      <alignment horizontal="justify" vertical="center" wrapText="1"/>
    </xf>
    <xf numFmtId="3" fontId="76" fillId="51" borderId="53" xfId="0" applyNumberFormat="1" applyFont="1" applyFill="1" applyBorder="1" applyAlignment="1">
      <alignment horizontal="justify" vertical="center" wrapText="1"/>
    </xf>
    <xf numFmtId="3" fontId="75" fillId="34" borderId="71" xfId="0" applyNumberFormat="1" applyFont="1" applyFill="1" applyBorder="1" applyAlignment="1">
      <alignment horizontal="left" vertical="center" wrapText="1"/>
    </xf>
    <xf numFmtId="3" fontId="75" fillId="34" borderId="0" xfId="0" applyNumberFormat="1" applyFont="1" applyFill="1" applyBorder="1" applyAlignment="1">
      <alignment horizontal="left" vertical="center" wrapText="1"/>
    </xf>
    <xf numFmtId="3" fontId="63" fillId="0" borderId="70" xfId="0" applyNumberFormat="1" applyFont="1" applyFill="1" applyBorder="1" applyAlignment="1">
      <alignment horizontal="left" vertical="center" wrapText="1"/>
    </xf>
    <xf numFmtId="3" fontId="75" fillId="50" borderId="61" xfId="0" applyNumberFormat="1" applyFont="1" applyFill="1" applyBorder="1" applyAlignment="1">
      <alignment horizontal="left" vertical="center" wrapText="1"/>
    </xf>
    <xf numFmtId="3" fontId="75" fillId="50" borderId="58" xfId="0" applyNumberFormat="1" applyFont="1" applyFill="1" applyBorder="1" applyAlignment="1">
      <alignment horizontal="left" vertical="center" wrapText="1"/>
    </xf>
    <xf numFmtId="3" fontId="75" fillId="50" borderId="25" xfId="0" applyNumberFormat="1" applyFont="1" applyFill="1" applyBorder="1" applyAlignment="1">
      <alignment horizontal="left" vertical="center" wrapText="1"/>
    </xf>
    <xf numFmtId="3" fontId="63" fillId="0" borderId="41" xfId="0" applyNumberFormat="1" applyFont="1" applyFill="1" applyBorder="1" applyAlignment="1">
      <alignment horizontal="left" vertical="center" wrapText="1"/>
    </xf>
    <xf numFmtId="3" fontId="63" fillId="0" borderId="34" xfId="0" applyNumberFormat="1" applyFont="1" applyFill="1" applyBorder="1" applyAlignment="1">
      <alignment horizontal="left" vertical="center" wrapText="1"/>
    </xf>
    <xf numFmtId="3" fontId="63" fillId="0" borderId="43" xfId="0" applyNumberFormat="1" applyFont="1" applyFill="1" applyBorder="1" applyAlignment="1">
      <alignment horizontal="left" vertical="center" wrapText="1"/>
    </xf>
    <xf numFmtId="3" fontId="63" fillId="0" borderId="72" xfId="0" applyNumberFormat="1" applyFont="1" applyFill="1" applyBorder="1" applyAlignment="1">
      <alignment horizontal="left" vertical="center" wrapText="1"/>
    </xf>
    <xf numFmtId="3" fontId="63" fillId="0" borderId="71" xfId="0" applyNumberFormat="1" applyFont="1" applyFill="1" applyBorder="1" applyAlignment="1">
      <alignment horizontal="left" vertical="center" wrapText="1"/>
    </xf>
    <xf numFmtId="3" fontId="63" fillId="0" borderId="58" xfId="0" applyNumberFormat="1" applyFont="1" applyFill="1" applyBorder="1" applyAlignment="1">
      <alignment horizontal="left" vertical="center" wrapText="1"/>
    </xf>
    <xf numFmtId="3" fontId="76" fillId="51" borderId="71" xfId="0" applyNumberFormat="1" applyFont="1" applyFill="1" applyBorder="1" applyAlignment="1">
      <alignment horizontal="justify" vertical="center" wrapText="1"/>
    </xf>
    <xf numFmtId="3" fontId="76" fillId="51" borderId="0" xfId="0" applyNumberFormat="1" applyFont="1" applyFill="1" applyBorder="1" applyAlignment="1">
      <alignment horizontal="justify" vertical="center" wrapText="1"/>
    </xf>
    <xf numFmtId="0" fontId="63" fillId="0" borderId="71" xfId="0" applyFont="1" applyFill="1" applyBorder="1" applyAlignment="1">
      <alignment horizontal="left" vertical="center" wrapText="1"/>
    </xf>
    <xf numFmtId="0" fontId="63" fillId="0" borderId="0" xfId="0" applyFont="1" applyFill="1" applyBorder="1" applyAlignment="1">
      <alignment horizontal="left" vertical="center" wrapText="1"/>
    </xf>
    <xf numFmtId="166" fontId="59" fillId="0" borderId="70" xfId="0" applyNumberFormat="1" applyFont="1" applyFill="1" applyBorder="1" applyAlignment="1">
      <alignment horizontal="left" vertical="center"/>
    </xf>
    <xf numFmtId="3" fontId="63" fillId="0" borderId="37" xfId="0" applyNumberFormat="1" applyFont="1" applyFill="1" applyBorder="1" applyAlignment="1">
      <alignment horizontal="left" vertical="center" wrapText="1"/>
    </xf>
    <xf numFmtId="3" fontId="76" fillId="51" borderId="72" xfId="0" applyNumberFormat="1" applyFont="1" applyFill="1" applyBorder="1" applyAlignment="1">
      <alignment horizontal="left" vertical="center" wrapText="1"/>
    </xf>
    <xf numFmtId="3" fontId="76" fillId="51" borderId="61" xfId="0" applyNumberFormat="1" applyFont="1" applyFill="1" applyBorder="1" applyAlignment="1">
      <alignment horizontal="left" vertical="center" wrapText="1"/>
    </xf>
    <xf numFmtId="3" fontId="76" fillId="51" borderId="71" xfId="0" applyNumberFormat="1" applyFont="1" applyFill="1" applyBorder="1" applyAlignment="1">
      <alignment horizontal="left" vertical="center" wrapText="1"/>
    </xf>
    <xf numFmtId="3" fontId="76" fillId="51" borderId="57" xfId="0" applyNumberFormat="1" applyFont="1" applyFill="1" applyBorder="1" applyAlignment="1">
      <alignment horizontal="left" vertical="center" wrapText="1"/>
    </xf>
    <xf numFmtId="166" fontId="66" fillId="36" borderId="87" xfId="0" applyNumberFormat="1" applyFont="1" applyFill="1" applyBorder="1" applyAlignment="1">
      <alignment horizontal="center"/>
    </xf>
    <xf numFmtId="166" fontId="66" fillId="36" borderId="73" xfId="0" applyNumberFormat="1" applyFont="1" applyFill="1" applyBorder="1" applyAlignment="1">
      <alignment horizontal="center"/>
    </xf>
    <xf numFmtId="166" fontId="66" fillId="36" borderId="24" xfId="0" applyNumberFormat="1" applyFont="1" applyFill="1" applyBorder="1" applyAlignment="1">
      <alignment horizontal="center"/>
    </xf>
    <xf numFmtId="166" fontId="71" fillId="36" borderId="87" xfId="0" applyNumberFormat="1" applyFont="1" applyFill="1" applyBorder="1" applyAlignment="1">
      <alignment horizontal="center" vertical="center"/>
    </xf>
    <xf numFmtId="166" fontId="71" fillId="36" borderId="73" xfId="0" applyNumberFormat="1" applyFont="1" applyFill="1" applyBorder="1" applyAlignment="1">
      <alignment horizontal="center" vertical="center"/>
    </xf>
    <xf numFmtId="166" fontId="71" fillId="36" borderId="24" xfId="0" applyNumberFormat="1" applyFont="1" applyFill="1" applyBorder="1" applyAlignment="1">
      <alignment horizontal="center" vertical="center"/>
    </xf>
    <xf numFmtId="0" fontId="66" fillId="36" borderId="56" xfId="0" applyFont="1" applyFill="1" applyBorder="1" applyAlignment="1">
      <alignment horizontal="center" vertical="center" wrapText="1"/>
    </xf>
    <xf numFmtId="0" fontId="66" fillId="36" borderId="70" xfId="0" applyFont="1" applyFill="1" applyBorder="1" applyAlignment="1">
      <alignment horizontal="center" vertical="center" wrapText="1"/>
    </xf>
    <xf numFmtId="0" fontId="66" fillId="36" borderId="59" xfId="0" applyFont="1" applyFill="1" applyBorder="1" applyAlignment="1">
      <alignment horizontal="center" vertical="center" wrapText="1"/>
    </xf>
    <xf numFmtId="49" fontId="22" fillId="36" borderId="63" xfId="0" applyNumberFormat="1" applyFont="1" applyFill="1" applyBorder="1" applyAlignment="1">
      <alignment horizontal="center" vertical="center"/>
    </xf>
    <xf numFmtId="49" fontId="22" fillId="36" borderId="49" xfId="0" applyNumberFormat="1" applyFont="1" applyFill="1" applyBorder="1" applyAlignment="1">
      <alignment horizontal="center" vertical="center"/>
    </xf>
    <xf numFmtId="49" fontId="22" fillId="36" borderId="50" xfId="0" applyNumberFormat="1" applyFont="1" applyFill="1" applyBorder="1" applyAlignment="1">
      <alignment horizontal="center" vertical="center"/>
    </xf>
    <xf numFmtId="49" fontId="22" fillId="36" borderId="89" xfId="0" applyNumberFormat="1" applyFont="1" applyFill="1" applyBorder="1" applyAlignment="1">
      <alignment horizontal="center" vertical="center"/>
    </xf>
    <xf numFmtId="49" fontId="22" fillId="36" borderId="90" xfId="0" applyNumberFormat="1" applyFont="1" applyFill="1" applyBorder="1" applyAlignment="1">
      <alignment horizontal="center" vertical="center"/>
    </xf>
    <xf numFmtId="49" fontId="22" fillId="36" borderId="92" xfId="0" applyNumberFormat="1" applyFont="1" applyFill="1" applyBorder="1" applyAlignment="1">
      <alignment horizontal="center" vertical="center"/>
    </xf>
    <xf numFmtId="10" fontId="66" fillId="36" borderId="87" xfId="0" applyNumberFormat="1" applyFont="1" applyFill="1" applyBorder="1" applyAlignment="1">
      <alignment horizontal="center" vertical="center"/>
    </xf>
    <xf numFmtId="10" fontId="66" fillId="36" borderId="73" xfId="0" applyNumberFormat="1" applyFont="1" applyFill="1" applyBorder="1" applyAlignment="1">
      <alignment horizontal="center" vertical="center"/>
    </xf>
    <xf numFmtId="10" fontId="66" fillId="36" borderId="24" xfId="0" applyNumberFormat="1" applyFont="1" applyFill="1" applyBorder="1" applyAlignment="1">
      <alignment horizontal="center" vertical="center"/>
    </xf>
    <xf numFmtId="0" fontId="59" fillId="0" borderId="72" xfId="0" applyFont="1" applyBorder="1" applyAlignment="1">
      <alignment horizontal="left" vertical="center"/>
    </xf>
    <xf numFmtId="0" fontId="59" fillId="0" borderId="71" xfId="0" applyFont="1" applyBorder="1" applyAlignment="1">
      <alignment horizontal="left" vertical="center"/>
    </xf>
    <xf numFmtId="0" fontId="62" fillId="46" borderId="57" xfId="0" applyFont="1" applyFill="1" applyBorder="1" applyAlignment="1">
      <alignment horizontal="left" vertical="center" wrapText="1"/>
    </xf>
    <xf numFmtId="166" fontId="62" fillId="46" borderId="71" xfId="0" applyNumberFormat="1" applyFont="1" applyFill="1" applyBorder="1" applyAlignment="1">
      <alignment horizontal="right" vertical="center" wrapText="1"/>
    </xf>
    <xf numFmtId="166" fontId="62" fillId="46" borderId="0" xfId="0" applyNumberFormat="1" applyFont="1" applyFill="1" applyBorder="1" applyAlignment="1">
      <alignment horizontal="right" vertical="center" wrapText="1"/>
    </xf>
    <xf numFmtId="166" fontId="62" fillId="46" borderId="57" xfId="0" applyNumberFormat="1" applyFont="1" applyFill="1" applyBorder="1" applyAlignment="1">
      <alignment horizontal="right" vertical="center" wrapText="1"/>
    </xf>
    <xf numFmtId="166" fontId="66" fillId="0" borderId="86" xfId="0" applyNumberFormat="1" applyFont="1" applyBorder="1" applyAlignment="1">
      <alignment horizontal="left" vertical="center"/>
    </xf>
    <xf numFmtId="166" fontId="66" fillId="0" borderId="92" xfId="0" applyNumberFormat="1" applyFont="1" applyBorder="1" applyAlignment="1">
      <alignment horizontal="left" vertical="center"/>
    </xf>
    <xf numFmtId="166" fontId="66" fillId="0" borderId="12" xfId="0" applyNumberFormat="1" applyFont="1" applyBorder="1" applyAlignment="1">
      <alignment horizontal="left" vertical="center"/>
    </xf>
    <xf numFmtId="166" fontId="66" fillId="0" borderId="14" xfId="0" applyNumberFormat="1" applyFont="1" applyBorder="1" applyAlignment="1">
      <alignment horizontal="left" vertical="center"/>
    </xf>
    <xf numFmtId="166" fontId="71" fillId="0" borderId="40" xfId="0" applyNumberFormat="1" applyFont="1" applyBorder="1" applyAlignment="1">
      <alignment horizontal="left" vertical="center"/>
    </xf>
    <xf numFmtId="166" fontId="71" fillId="0" borderId="39" xfId="0" applyNumberFormat="1" applyFont="1" applyBorder="1" applyAlignment="1">
      <alignment horizontal="left" vertical="center"/>
    </xf>
    <xf numFmtId="0" fontId="66" fillId="36" borderId="56" xfId="0" applyFont="1" applyFill="1" applyBorder="1" applyAlignment="1">
      <alignment horizontal="right" vertical="center" wrapText="1"/>
    </xf>
    <xf numFmtId="0" fontId="66" fillId="36" borderId="70" xfId="0" applyFont="1" applyFill="1" applyBorder="1" applyAlignment="1">
      <alignment horizontal="right" vertical="center" wrapText="1"/>
    </xf>
    <xf numFmtId="0" fontId="66" fillId="36" borderId="59" xfId="0" applyFont="1" applyFill="1" applyBorder="1" applyAlignment="1">
      <alignment horizontal="right" vertical="center" wrapText="1"/>
    </xf>
    <xf numFmtId="3" fontId="75" fillId="34" borderId="72" xfId="0" applyNumberFormat="1" applyFont="1" applyFill="1" applyBorder="1" applyAlignment="1">
      <alignment horizontal="left" vertical="center" wrapText="1"/>
    </xf>
    <xf numFmtId="3" fontId="75" fillId="34" borderId="78" xfId="0" applyNumberFormat="1" applyFont="1" applyFill="1" applyBorder="1" applyAlignment="1">
      <alignment horizontal="left" vertical="center" wrapText="1"/>
    </xf>
    <xf numFmtId="166" fontId="66" fillId="39" borderId="87" xfId="0" applyNumberFormat="1" applyFont="1" applyFill="1" applyBorder="1" applyAlignment="1">
      <alignment horizontal="center" vertical="center" wrapText="1"/>
    </xf>
    <xf numFmtId="166" fontId="66" fillId="39" borderId="24" xfId="0" applyNumberFormat="1" applyFont="1" applyFill="1" applyBorder="1" applyAlignment="1">
      <alignment horizontal="center" vertical="center" wrapText="1"/>
    </xf>
    <xf numFmtId="166" fontId="66" fillId="38" borderId="78" xfId="0" applyNumberFormat="1" applyFont="1" applyFill="1" applyBorder="1" applyAlignment="1">
      <alignment horizontal="center" vertical="center"/>
    </xf>
    <xf numFmtId="166" fontId="66" fillId="38" borderId="61" xfId="0" applyNumberFormat="1" applyFont="1" applyFill="1" applyBorder="1" applyAlignment="1">
      <alignment horizontal="center" vertical="center"/>
    </xf>
    <xf numFmtId="165" fontId="62" fillId="0" borderId="78" xfId="0" applyNumberFormat="1" applyFont="1" applyFill="1" applyBorder="1" applyAlignment="1">
      <alignment horizontal="center" vertical="center" wrapText="1"/>
    </xf>
    <xf numFmtId="165" fontId="62" fillId="0" borderId="61" xfId="0" applyNumberFormat="1" applyFont="1" applyFill="1" applyBorder="1" applyAlignment="1">
      <alignment horizontal="center" vertical="center" wrapText="1"/>
    </xf>
    <xf numFmtId="165" fontId="62" fillId="0" borderId="0" xfId="0" applyNumberFormat="1" applyFont="1" applyFill="1" applyBorder="1" applyAlignment="1">
      <alignment horizontal="center" vertical="center" wrapText="1"/>
    </xf>
    <xf numFmtId="165" fontId="62" fillId="0" borderId="57" xfId="0" applyNumberFormat="1" applyFont="1" applyFill="1" applyBorder="1" applyAlignment="1">
      <alignment horizontal="center" vertical="center" wrapText="1"/>
    </xf>
    <xf numFmtId="166" fontId="62" fillId="18" borderId="87" xfId="0" applyNumberFormat="1" applyFont="1" applyFill="1" applyBorder="1" applyAlignment="1">
      <alignment horizontal="center" vertical="center"/>
    </xf>
    <xf numFmtId="166" fontId="62" fillId="18" borderId="24" xfId="0" applyNumberFormat="1" applyFont="1" applyFill="1" applyBorder="1" applyAlignment="1">
      <alignment horizontal="center" vertical="center"/>
    </xf>
    <xf numFmtId="166" fontId="66" fillId="39" borderId="72" xfId="0" applyNumberFormat="1" applyFont="1" applyFill="1" applyBorder="1" applyAlignment="1">
      <alignment horizontal="center" vertical="center"/>
    </xf>
    <xf numFmtId="166" fontId="66" fillId="39" borderId="61" xfId="0" applyNumberFormat="1" applyFont="1" applyFill="1" applyBorder="1" applyAlignment="1">
      <alignment horizontal="center" vertical="center"/>
    </xf>
    <xf numFmtId="165" fontId="60" fillId="0" borderId="78" xfId="0" applyNumberFormat="1" applyFont="1" applyBorder="1" applyAlignment="1">
      <alignment horizontal="center"/>
    </xf>
    <xf numFmtId="165" fontId="60" fillId="0" borderId="61" xfId="0" applyNumberFormat="1" applyFont="1" applyBorder="1" applyAlignment="1">
      <alignment horizontal="center"/>
    </xf>
    <xf numFmtId="165" fontId="60" fillId="0" borderId="0" xfId="0" applyNumberFormat="1" applyFont="1" applyBorder="1" applyAlignment="1">
      <alignment horizontal="center"/>
    </xf>
    <xf numFmtId="165" fontId="60" fillId="0" borderId="57" xfId="0" applyNumberFormat="1" applyFont="1" applyBorder="1" applyAlignment="1">
      <alignment horizontal="center"/>
    </xf>
    <xf numFmtId="165" fontId="60" fillId="0" borderId="53" xfId="0" applyNumberFormat="1" applyFont="1" applyBorder="1" applyAlignment="1">
      <alignment horizontal="center"/>
    </xf>
    <xf numFmtId="165" fontId="60" fillId="0" borderId="25" xfId="0" applyNumberFormat="1" applyFont="1" applyBorder="1" applyAlignment="1">
      <alignment horizontal="center"/>
    </xf>
    <xf numFmtId="3" fontId="75" fillId="50" borderId="73" xfId="0" applyNumberFormat="1" applyFont="1" applyFill="1" applyBorder="1" applyAlignment="1">
      <alignment horizontal="center" vertical="center" wrapText="1"/>
    </xf>
    <xf numFmtId="166" fontId="16" fillId="38" borderId="73" xfId="0" applyNumberFormat="1" applyFont="1" applyFill="1" applyBorder="1" applyAlignment="1">
      <alignment horizontal="center" vertical="center"/>
    </xf>
    <xf numFmtId="166" fontId="16" fillId="38" borderId="24" xfId="0" applyNumberFormat="1" applyFont="1" applyFill="1" applyBorder="1" applyAlignment="1">
      <alignment horizontal="center" vertical="center"/>
    </xf>
    <xf numFmtId="166" fontId="62" fillId="49" borderId="87" xfId="0" applyNumberFormat="1" applyFont="1" applyFill="1" applyBorder="1" applyAlignment="1">
      <alignment horizontal="center" vertical="center"/>
    </xf>
    <xf numFmtId="166" fontId="62" fillId="49" borderId="24" xfId="0" applyNumberFormat="1" applyFont="1" applyFill="1" applyBorder="1" applyAlignment="1">
      <alignment horizontal="center" vertical="center"/>
    </xf>
    <xf numFmtId="166" fontId="66" fillId="40" borderId="87" xfId="0" applyNumberFormat="1" applyFont="1" applyFill="1" applyBorder="1" applyAlignment="1">
      <alignment horizontal="center" vertical="center"/>
    </xf>
    <xf numFmtId="166" fontId="66" fillId="40" borderId="24" xfId="0" applyNumberFormat="1" applyFont="1" applyFill="1" applyBorder="1" applyAlignment="1">
      <alignment horizontal="center" vertical="center"/>
    </xf>
    <xf numFmtId="0" fontId="59" fillId="0" borderId="43" xfId="0" applyFont="1" applyBorder="1" applyAlignment="1">
      <alignment horizontal="left" vertical="center" wrapText="1"/>
    </xf>
    <xf numFmtId="166" fontId="59" fillId="0" borderId="61" xfId="0" applyNumberFormat="1" applyFont="1" applyFill="1" applyBorder="1" applyAlignment="1">
      <alignment horizontal="left" vertical="center" wrapText="1"/>
    </xf>
    <xf numFmtId="166" fontId="59" fillId="0" borderId="25" xfId="0" applyNumberFormat="1" applyFont="1" applyFill="1" applyBorder="1" applyAlignment="1">
      <alignment horizontal="left" vertical="center" wrapText="1"/>
    </xf>
    <xf numFmtId="166" fontId="62" fillId="18" borderId="73" xfId="0" applyNumberFormat="1" applyFont="1" applyFill="1" applyBorder="1" applyAlignment="1">
      <alignment horizontal="center" vertical="center"/>
    </xf>
    <xf numFmtId="0" fontId="64" fillId="35" borderId="0" xfId="0" applyFont="1" applyFill="1" applyAlignment="1">
      <alignment horizontal="center" vertical="center"/>
    </xf>
    <xf numFmtId="3" fontId="70" fillId="35" borderId="79" xfId="0" applyNumberFormat="1" applyFont="1" applyFill="1" applyBorder="1" applyAlignment="1">
      <alignment horizontal="center" vertical="center"/>
    </xf>
    <xf numFmtId="0" fontId="70" fillId="35" borderId="79" xfId="0" applyFont="1" applyFill="1" applyBorder="1" applyAlignment="1">
      <alignment horizontal="center" vertical="center"/>
    </xf>
    <xf numFmtId="3" fontId="70" fillId="35" borderId="99" xfId="0" applyNumberFormat="1" applyFont="1" applyFill="1" applyBorder="1" applyAlignment="1">
      <alignment horizontal="center" vertical="center"/>
    </xf>
    <xf numFmtId="3" fontId="70" fillId="44" borderId="99" xfId="0" applyNumberFormat="1" applyFont="1" applyFill="1" applyBorder="1" applyAlignment="1">
      <alignment horizontal="center"/>
    </xf>
    <xf numFmtId="0" fontId="70" fillId="44" borderId="99" xfId="0" applyFont="1" applyFill="1" applyBorder="1" applyAlignment="1">
      <alignment horizontal="center"/>
    </xf>
    <xf numFmtId="0" fontId="64" fillId="44" borderId="0" xfId="0" applyFont="1" applyFill="1" applyAlignment="1">
      <alignment horizontal="right" vertical="center" wrapText="1"/>
    </xf>
    <xf numFmtId="0" fontId="64" fillId="44" borderId="0" xfId="0" applyFont="1" applyFill="1" applyAlignment="1">
      <alignment horizontal="center" vertical="center" wrapText="1"/>
    </xf>
    <xf numFmtId="3" fontId="71" fillId="37" borderId="99" xfId="0" applyNumberFormat="1" applyFont="1" applyFill="1" applyBorder="1" applyAlignment="1">
      <alignment horizontal="center"/>
    </xf>
    <xf numFmtId="0" fontId="71" fillId="37" borderId="99" xfId="0" applyFont="1" applyFill="1" applyBorder="1" applyAlignment="1">
      <alignment horizontal="center"/>
    </xf>
    <xf numFmtId="0" fontId="62" fillId="37" borderId="0" xfId="0" applyFont="1" applyFill="1" applyAlignment="1">
      <alignment horizontal="right" vertical="center" wrapText="1"/>
    </xf>
    <xf numFmtId="0" fontId="24" fillId="37" borderId="0" xfId="0" applyFont="1" applyFill="1" applyBorder="1" applyAlignment="1">
      <alignment horizontal="center" vertical="center" wrapText="1"/>
    </xf>
    <xf numFmtId="0" fontId="24" fillId="37" borderId="60" xfId="0" applyFont="1" applyFill="1" applyBorder="1" applyAlignment="1">
      <alignment horizontal="center" vertical="center" wrapText="1"/>
    </xf>
    <xf numFmtId="0" fontId="24" fillId="37" borderId="0" xfId="0" applyFont="1" applyFill="1" applyAlignment="1">
      <alignment horizontal="center" vertical="center" wrapText="1"/>
    </xf>
    <xf numFmtId="3" fontId="72" fillId="35" borderId="99" xfId="0" applyNumberFormat="1" applyFont="1" applyFill="1" applyBorder="1" applyAlignment="1">
      <alignment horizontal="center" vertical="center"/>
    </xf>
    <xf numFmtId="3" fontId="72" fillId="35" borderId="0" xfId="0" applyNumberFormat="1" applyFont="1" applyFill="1" applyAlignment="1">
      <alignment horizontal="center"/>
    </xf>
    <xf numFmtId="0" fontId="72" fillId="35" borderId="0" xfId="0" applyFont="1" applyFill="1" applyAlignment="1">
      <alignment horizontal="center"/>
    </xf>
    <xf numFmtId="0" fontId="64" fillId="35" borderId="0" xfId="0" applyFont="1" applyFill="1" applyAlignment="1">
      <alignment horizontal="center" vertical="center" wrapText="1"/>
    </xf>
    <xf numFmtId="0" fontId="64" fillId="35" borderId="0" xfId="0" applyFont="1" applyFill="1" applyAlignment="1">
      <alignment horizontal="right" vertical="center" wrapText="1"/>
    </xf>
    <xf numFmtId="3" fontId="72" fillId="35" borderId="100" xfId="0" applyNumberFormat="1" applyFont="1" applyFill="1" applyBorder="1" applyAlignment="1">
      <alignment horizontal="center" vertical="center"/>
    </xf>
    <xf numFmtId="3" fontId="72" fillId="35" borderId="101" xfId="0" applyNumberFormat="1" applyFont="1" applyFill="1" applyBorder="1" applyAlignment="1">
      <alignment horizontal="center" vertical="center"/>
    </xf>
    <xf numFmtId="3" fontId="72" fillId="35" borderId="10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32" xfId="48"/>
    <cellStyle name="Currency" xfId="49"/>
    <cellStyle name="Currency [0]" xfId="50"/>
    <cellStyle name="Neutral" xfId="51"/>
    <cellStyle name="Normal 3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T437"/>
  <sheetViews>
    <sheetView tabSelected="1" zoomScale="85" zoomScaleNormal="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332" sqref="C332"/>
    </sheetView>
  </sheetViews>
  <sheetFormatPr defaultColWidth="11.421875" defaultRowHeight="15"/>
  <cols>
    <col min="1" max="1" width="14.28125" style="0" customWidth="1"/>
    <col min="2" max="2" width="53.8515625" style="0" customWidth="1"/>
    <col min="3" max="6" width="15.57421875" style="0" customWidth="1"/>
    <col min="7" max="7" width="18.28125" style="0" customWidth="1"/>
    <col min="8" max="18" width="15.57421875" style="0" customWidth="1"/>
    <col min="19" max="19" width="19.140625" style="0" customWidth="1"/>
    <col min="20" max="20" width="19.7109375" style="0" customWidth="1"/>
  </cols>
  <sheetData>
    <row r="1" spans="1:20" ht="28.5" customHeight="1" thickBot="1">
      <c r="A1" s="447" t="s">
        <v>8</v>
      </c>
      <c r="B1" s="448"/>
      <c r="C1" s="449"/>
      <c r="D1" s="449"/>
      <c r="E1" s="448"/>
      <c r="F1" s="448"/>
      <c r="G1" s="448"/>
      <c r="H1" s="448"/>
      <c r="I1" s="448"/>
      <c r="J1" s="448"/>
      <c r="K1" s="448"/>
      <c r="L1" s="448"/>
      <c r="M1" s="448"/>
      <c r="N1" s="448"/>
      <c r="O1" s="448"/>
      <c r="P1" s="448"/>
      <c r="Q1" s="448"/>
      <c r="R1" s="450"/>
      <c r="S1" s="451" t="s">
        <v>386</v>
      </c>
      <c r="T1" s="451" t="s">
        <v>385</v>
      </c>
    </row>
    <row r="2" spans="1:20" ht="21" customHeight="1" thickBot="1">
      <c r="A2" s="471"/>
      <c r="B2" s="472"/>
      <c r="C2" s="473">
        <v>2012</v>
      </c>
      <c r="D2" s="474"/>
      <c r="E2" s="474"/>
      <c r="F2" s="475"/>
      <c r="G2" s="476">
        <v>2013</v>
      </c>
      <c r="H2" s="477"/>
      <c r="I2" s="477"/>
      <c r="J2" s="478"/>
      <c r="K2" s="476">
        <v>2014</v>
      </c>
      <c r="L2" s="477"/>
      <c r="M2" s="477"/>
      <c r="N2" s="478"/>
      <c r="O2" s="476">
        <v>2015</v>
      </c>
      <c r="P2" s="477"/>
      <c r="Q2" s="477"/>
      <c r="R2" s="478"/>
      <c r="S2" s="452"/>
      <c r="T2" s="452"/>
    </row>
    <row r="3" spans="1:20" ht="39" thickBot="1">
      <c r="A3" s="242" t="s">
        <v>0</v>
      </c>
      <c r="B3" s="243" t="s">
        <v>284</v>
      </c>
      <c r="C3" s="244" t="s">
        <v>1</v>
      </c>
      <c r="D3" s="245" t="s">
        <v>2</v>
      </c>
      <c r="E3" s="245" t="s">
        <v>3</v>
      </c>
      <c r="F3" s="246" t="s">
        <v>4</v>
      </c>
      <c r="G3" s="244" t="s">
        <v>1</v>
      </c>
      <c r="H3" s="245" t="s">
        <v>2</v>
      </c>
      <c r="I3" s="245" t="s">
        <v>3</v>
      </c>
      <c r="J3" s="246" t="s">
        <v>4</v>
      </c>
      <c r="K3" s="244" t="s">
        <v>1</v>
      </c>
      <c r="L3" s="245" t="s">
        <v>2</v>
      </c>
      <c r="M3" s="245" t="s">
        <v>3</v>
      </c>
      <c r="N3" s="246" t="s">
        <v>4</v>
      </c>
      <c r="O3" s="244" t="s">
        <v>1</v>
      </c>
      <c r="P3" s="245" t="s">
        <v>2</v>
      </c>
      <c r="Q3" s="245" t="s">
        <v>3</v>
      </c>
      <c r="R3" s="259" t="s">
        <v>4</v>
      </c>
      <c r="S3" s="452"/>
      <c r="T3" s="452"/>
    </row>
    <row r="4" spans="1:20" ht="39.75" customHeight="1" thickBot="1">
      <c r="A4" s="479" t="s">
        <v>387</v>
      </c>
      <c r="B4" s="480"/>
      <c r="C4" s="480"/>
      <c r="D4" s="480"/>
      <c r="E4" s="480"/>
      <c r="F4" s="480"/>
      <c r="G4" s="480"/>
      <c r="H4" s="480"/>
      <c r="I4" s="480"/>
      <c r="J4" s="480"/>
      <c r="K4" s="480"/>
      <c r="L4" s="480"/>
      <c r="M4" s="480"/>
      <c r="N4" s="480"/>
      <c r="O4" s="480"/>
      <c r="P4" s="480"/>
      <c r="Q4" s="480"/>
      <c r="R4" s="480"/>
      <c r="S4" s="452"/>
      <c r="T4" s="452"/>
    </row>
    <row r="5" spans="1:20" ht="12.75" customHeight="1">
      <c r="A5" s="481" t="s">
        <v>213</v>
      </c>
      <c r="B5" s="482"/>
      <c r="C5" s="441" t="s">
        <v>5</v>
      </c>
      <c r="D5" s="442"/>
      <c r="E5" s="442"/>
      <c r="F5" s="442"/>
      <c r="G5" s="442"/>
      <c r="H5" s="442"/>
      <c r="I5" s="442"/>
      <c r="J5" s="442"/>
      <c r="K5" s="442"/>
      <c r="L5" s="442"/>
      <c r="M5" s="442"/>
      <c r="N5" s="442"/>
      <c r="O5" s="442"/>
      <c r="P5" s="442"/>
      <c r="Q5" s="442"/>
      <c r="R5" s="442"/>
      <c r="S5" s="452"/>
      <c r="T5" s="452"/>
    </row>
    <row r="6" spans="1:20" ht="12.75" customHeight="1">
      <c r="A6" s="483"/>
      <c r="B6" s="484"/>
      <c r="C6" s="443" t="s">
        <v>63</v>
      </c>
      <c r="D6" s="444"/>
      <c r="E6" s="444"/>
      <c r="F6" s="444"/>
      <c r="G6" s="444"/>
      <c r="H6" s="444"/>
      <c r="I6" s="444"/>
      <c r="J6" s="444"/>
      <c r="K6" s="444"/>
      <c r="L6" s="444"/>
      <c r="M6" s="444"/>
      <c r="N6" s="444"/>
      <c r="O6" s="444"/>
      <c r="P6" s="444"/>
      <c r="Q6" s="444"/>
      <c r="R6" s="444"/>
      <c r="S6" s="452"/>
      <c r="T6" s="452"/>
    </row>
    <row r="7" spans="1:20" ht="12.75" customHeight="1">
      <c r="A7" s="483"/>
      <c r="B7" s="484"/>
      <c r="C7" s="443" t="s">
        <v>64</v>
      </c>
      <c r="D7" s="444"/>
      <c r="E7" s="444"/>
      <c r="F7" s="444"/>
      <c r="G7" s="444"/>
      <c r="H7" s="444"/>
      <c r="I7" s="444"/>
      <c r="J7" s="444"/>
      <c r="K7" s="444"/>
      <c r="L7" s="444"/>
      <c r="M7" s="444"/>
      <c r="N7" s="444"/>
      <c r="O7" s="444"/>
      <c r="P7" s="444"/>
      <c r="Q7" s="444"/>
      <c r="R7" s="444"/>
      <c r="S7" s="452"/>
      <c r="T7" s="452"/>
    </row>
    <row r="8" spans="1:20" ht="12.75" customHeight="1">
      <c r="A8" s="483"/>
      <c r="B8" s="484"/>
      <c r="C8" s="443" t="s">
        <v>65</v>
      </c>
      <c r="D8" s="444"/>
      <c r="E8" s="444"/>
      <c r="F8" s="444"/>
      <c r="G8" s="444"/>
      <c r="H8" s="444"/>
      <c r="I8" s="444"/>
      <c r="J8" s="444"/>
      <c r="K8" s="444"/>
      <c r="L8" s="444"/>
      <c r="M8" s="444"/>
      <c r="N8" s="444"/>
      <c r="O8" s="444"/>
      <c r="P8" s="444"/>
      <c r="Q8" s="444"/>
      <c r="R8" s="444"/>
      <c r="S8" s="452"/>
      <c r="T8" s="452"/>
    </row>
    <row r="9" spans="1:20" ht="12.75" customHeight="1">
      <c r="A9" s="483"/>
      <c r="B9" s="484"/>
      <c r="C9" s="443" t="s">
        <v>66</v>
      </c>
      <c r="D9" s="444"/>
      <c r="E9" s="444"/>
      <c r="F9" s="444"/>
      <c r="G9" s="444"/>
      <c r="H9" s="444"/>
      <c r="I9" s="444"/>
      <c r="J9" s="444"/>
      <c r="K9" s="444"/>
      <c r="L9" s="444"/>
      <c r="M9" s="444"/>
      <c r="N9" s="444"/>
      <c r="O9" s="444"/>
      <c r="P9" s="444"/>
      <c r="Q9" s="444"/>
      <c r="R9" s="444"/>
      <c r="S9" s="452"/>
      <c r="T9" s="452"/>
    </row>
    <row r="10" spans="1:20" ht="12.75" customHeight="1" thickBot="1">
      <c r="A10" s="485"/>
      <c r="B10" s="486"/>
      <c r="C10" s="445" t="s">
        <v>67</v>
      </c>
      <c r="D10" s="446"/>
      <c r="E10" s="446"/>
      <c r="F10" s="446"/>
      <c r="G10" s="446"/>
      <c r="H10" s="446"/>
      <c r="I10" s="446"/>
      <c r="J10" s="446"/>
      <c r="K10" s="446"/>
      <c r="L10" s="446"/>
      <c r="M10" s="446"/>
      <c r="N10" s="446"/>
      <c r="O10" s="446"/>
      <c r="P10" s="446"/>
      <c r="Q10" s="446"/>
      <c r="R10" s="446"/>
      <c r="S10" s="453"/>
      <c r="T10" s="453"/>
    </row>
    <row r="11" spans="1:20" ht="16.5" thickBot="1">
      <c r="A11" s="489" t="s">
        <v>313</v>
      </c>
      <c r="B11" s="490"/>
      <c r="C11" s="491">
        <f>+C12+C15+C20+C22+C25</f>
        <v>592129885</v>
      </c>
      <c r="D11" s="492"/>
      <c r="E11" s="492"/>
      <c r="F11" s="493"/>
      <c r="G11" s="491">
        <f>+G12+G15+G20+G22+G25</f>
        <v>637578409</v>
      </c>
      <c r="H11" s="492"/>
      <c r="I11" s="492"/>
      <c r="J11" s="493"/>
      <c r="K11" s="492">
        <f>+K12+K15+K20+K22+K25</f>
        <v>639193653</v>
      </c>
      <c r="L11" s="492"/>
      <c r="M11" s="492"/>
      <c r="N11" s="493"/>
      <c r="O11" s="492">
        <f>+O12+O15+O20+O22+O25</f>
        <v>682989935</v>
      </c>
      <c r="P11" s="492"/>
      <c r="Q11" s="492"/>
      <c r="R11" s="493"/>
      <c r="S11" s="822">
        <f>SUM(C11:R11)</f>
        <v>2551891882</v>
      </c>
      <c r="T11" s="823"/>
    </row>
    <row r="12" spans="1:20" ht="27" customHeight="1" thickBot="1">
      <c r="A12" s="494" t="s">
        <v>407</v>
      </c>
      <c r="B12" s="495"/>
      <c r="C12" s="496">
        <f>SUM(C13:F14)</f>
        <v>15000000</v>
      </c>
      <c r="D12" s="497"/>
      <c r="E12" s="497"/>
      <c r="F12" s="498"/>
      <c r="G12" s="496">
        <f>SUM(G13:J14)</f>
        <v>10350000</v>
      </c>
      <c r="H12" s="497"/>
      <c r="I12" s="497"/>
      <c r="J12" s="498"/>
      <c r="K12" s="497">
        <f>SUM(K13:N14)</f>
        <v>10712250</v>
      </c>
      <c r="L12" s="497"/>
      <c r="M12" s="497"/>
      <c r="N12" s="498"/>
      <c r="O12" s="497">
        <f>SUM(O13:R14)</f>
        <v>11087180</v>
      </c>
      <c r="P12" s="497"/>
      <c r="Q12" s="497"/>
      <c r="R12" s="497"/>
      <c r="S12" s="523">
        <f>SUM(S13:S14)</f>
        <v>47149430</v>
      </c>
      <c r="T12" s="524"/>
    </row>
    <row r="13" spans="1:20" ht="51">
      <c r="A13" s="487" t="s">
        <v>335</v>
      </c>
      <c r="B13" s="27" t="s">
        <v>68</v>
      </c>
      <c r="C13" s="50">
        <v>5000000</v>
      </c>
      <c r="D13" s="8"/>
      <c r="E13" s="8"/>
      <c r="F13" s="9"/>
      <c r="G13" s="16"/>
      <c r="H13" s="11"/>
      <c r="I13" s="11"/>
      <c r="J13" s="12"/>
      <c r="K13" s="10"/>
      <c r="L13" s="11"/>
      <c r="M13" s="11"/>
      <c r="N13" s="12"/>
      <c r="O13" s="10"/>
      <c r="P13" s="11"/>
      <c r="Q13" s="11"/>
      <c r="R13" s="15"/>
      <c r="S13" s="294">
        <f>SUM(C13:R13)</f>
        <v>5000000</v>
      </c>
      <c r="T13" s="436" t="s">
        <v>388</v>
      </c>
    </row>
    <row r="14" spans="1:20" ht="26.25" thickBot="1">
      <c r="A14" s="488"/>
      <c r="B14" s="29" t="s">
        <v>69</v>
      </c>
      <c r="C14" s="51">
        <v>10000000</v>
      </c>
      <c r="D14" s="13"/>
      <c r="E14" s="13"/>
      <c r="F14" s="14"/>
      <c r="G14" s="16">
        <v>10350000</v>
      </c>
      <c r="H14" s="11"/>
      <c r="I14" s="11"/>
      <c r="J14" s="12"/>
      <c r="K14" s="10">
        <v>10712250</v>
      </c>
      <c r="L14" s="11"/>
      <c r="M14" s="11"/>
      <c r="N14" s="12"/>
      <c r="O14" s="10">
        <v>11087180</v>
      </c>
      <c r="P14" s="11"/>
      <c r="Q14" s="11"/>
      <c r="R14" s="15"/>
      <c r="S14" s="294">
        <f>SUM(C14:R14)</f>
        <v>42149430</v>
      </c>
      <c r="T14" s="436"/>
    </row>
    <row r="15" spans="1:20" ht="27" customHeight="1" thickBot="1">
      <c r="A15" s="454" t="s">
        <v>408</v>
      </c>
      <c r="B15" s="455"/>
      <c r="C15" s="456">
        <f>SUM(C16:F19)</f>
        <v>66000000</v>
      </c>
      <c r="D15" s="457"/>
      <c r="E15" s="457"/>
      <c r="F15" s="458"/>
      <c r="G15" s="456">
        <f>SUM(G16:J19)</f>
        <v>88310000</v>
      </c>
      <c r="H15" s="457"/>
      <c r="I15" s="457"/>
      <c r="J15" s="458"/>
      <c r="K15" s="457">
        <f>SUM(K16:N19)</f>
        <v>70700850</v>
      </c>
      <c r="L15" s="457"/>
      <c r="M15" s="457"/>
      <c r="N15" s="458"/>
      <c r="O15" s="457">
        <f>SUM(O16:R19)</f>
        <v>94599880</v>
      </c>
      <c r="P15" s="457"/>
      <c r="Q15" s="457"/>
      <c r="R15" s="457"/>
      <c r="S15" s="523">
        <f>SUM(S16:S19)</f>
        <v>319610730</v>
      </c>
      <c r="T15" s="524"/>
    </row>
    <row r="16" spans="1:20" ht="51">
      <c r="A16" s="463" t="s">
        <v>335</v>
      </c>
      <c r="B16" s="30" t="s">
        <v>6</v>
      </c>
      <c r="C16" s="50"/>
      <c r="D16" s="8"/>
      <c r="E16" s="8"/>
      <c r="F16" s="9"/>
      <c r="G16" s="16">
        <v>20000000</v>
      </c>
      <c r="H16" s="11"/>
      <c r="I16" s="11"/>
      <c r="J16" s="12"/>
      <c r="K16" s="10"/>
      <c r="L16" s="11"/>
      <c r="M16" s="11"/>
      <c r="N16" s="12"/>
      <c r="O16" s="10">
        <v>21424500</v>
      </c>
      <c r="P16" s="11"/>
      <c r="Q16" s="11"/>
      <c r="R16" s="15"/>
      <c r="S16" s="294">
        <f>SUM(C16:R16)</f>
        <v>41424500</v>
      </c>
      <c r="T16" s="436" t="s">
        <v>388</v>
      </c>
    </row>
    <row r="17" spans="1:20" ht="38.25">
      <c r="A17" s="464"/>
      <c r="B17" s="31" t="s">
        <v>215</v>
      </c>
      <c r="C17" s="39">
        <v>60000000</v>
      </c>
      <c r="D17" s="11"/>
      <c r="E17" s="11"/>
      <c r="F17" s="12"/>
      <c r="G17" s="16">
        <v>62100000</v>
      </c>
      <c r="H17" s="11"/>
      <c r="I17" s="11"/>
      <c r="J17" s="12"/>
      <c r="K17" s="10">
        <v>64273500</v>
      </c>
      <c r="L17" s="11"/>
      <c r="M17" s="11"/>
      <c r="N17" s="12"/>
      <c r="O17" s="10">
        <v>66523073</v>
      </c>
      <c r="P17" s="11"/>
      <c r="Q17" s="11"/>
      <c r="R17" s="15"/>
      <c r="S17" s="294">
        <f>SUM(C17:R17)</f>
        <v>252896573</v>
      </c>
      <c r="T17" s="436"/>
    </row>
    <row r="18" spans="1:20" ht="25.5">
      <c r="A18" s="464"/>
      <c r="B18" s="386" t="s">
        <v>441</v>
      </c>
      <c r="C18" s="51">
        <v>1000000</v>
      </c>
      <c r="D18" s="13"/>
      <c r="E18" s="13"/>
      <c r="F18" s="14"/>
      <c r="G18" s="16">
        <v>1035000</v>
      </c>
      <c r="H18" s="11"/>
      <c r="I18" s="11"/>
      <c r="J18" s="12"/>
      <c r="K18" s="10">
        <v>1071225</v>
      </c>
      <c r="L18" s="11"/>
      <c r="M18" s="11"/>
      <c r="N18" s="12"/>
      <c r="O18" s="10">
        <v>1108718</v>
      </c>
      <c r="P18" s="11"/>
      <c r="Q18" s="11"/>
      <c r="R18" s="15"/>
      <c r="S18" s="294">
        <f>SUM(C18:R18)</f>
        <v>4214943</v>
      </c>
      <c r="T18" s="436"/>
    </row>
    <row r="19" spans="1:20" ht="77.25" thickBot="1">
      <c r="A19" s="465"/>
      <c r="B19" s="32" t="s">
        <v>11</v>
      </c>
      <c r="C19" s="51">
        <v>5000000</v>
      </c>
      <c r="D19" s="13"/>
      <c r="E19" s="13"/>
      <c r="F19" s="14"/>
      <c r="G19" s="16">
        <v>5175000</v>
      </c>
      <c r="H19" s="11"/>
      <c r="I19" s="11"/>
      <c r="J19" s="12"/>
      <c r="K19" s="10">
        <v>5356125</v>
      </c>
      <c r="L19" s="11"/>
      <c r="M19" s="11"/>
      <c r="N19" s="12"/>
      <c r="O19" s="10">
        <v>5543589</v>
      </c>
      <c r="P19" s="11"/>
      <c r="Q19" s="11"/>
      <c r="R19" s="15"/>
      <c r="S19" s="294">
        <f>SUM(C19:R19)</f>
        <v>21074714</v>
      </c>
      <c r="T19" s="436"/>
    </row>
    <row r="20" spans="1:20" ht="27" customHeight="1" thickBot="1">
      <c r="A20" s="454" t="s">
        <v>409</v>
      </c>
      <c r="B20" s="455"/>
      <c r="C20" s="456">
        <f>SUM(C21:F21)</f>
        <v>121720685</v>
      </c>
      <c r="D20" s="457"/>
      <c r="E20" s="457"/>
      <c r="F20" s="458"/>
      <c r="G20" s="456">
        <f>SUM(G21:J21)</f>
        <v>126498409</v>
      </c>
      <c r="H20" s="457"/>
      <c r="I20" s="457"/>
      <c r="J20" s="458"/>
      <c r="K20" s="457">
        <f>SUM(K21:N21)</f>
        <v>130925853</v>
      </c>
      <c r="L20" s="457"/>
      <c r="M20" s="457"/>
      <c r="N20" s="458"/>
      <c r="O20" s="457">
        <f>SUM(O21:R21)</f>
        <v>135508259</v>
      </c>
      <c r="P20" s="457"/>
      <c r="Q20" s="457"/>
      <c r="R20" s="457"/>
      <c r="S20" s="523">
        <f>SUM(S21)</f>
        <v>514653206</v>
      </c>
      <c r="T20" s="524"/>
    </row>
    <row r="21" spans="1:20" ht="39" thickBot="1">
      <c r="A21" s="219" t="s">
        <v>334</v>
      </c>
      <c r="B21" s="34" t="s">
        <v>61</v>
      </c>
      <c r="C21" s="52">
        <v>99500000</v>
      </c>
      <c r="D21" s="41">
        <v>22220685</v>
      </c>
      <c r="E21" s="41"/>
      <c r="F21" s="42"/>
      <c r="G21" s="45">
        <v>103500000</v>
      </c>
      <c r="H21" s="13">
        <v>22998409</v>
      </c>
      <c r="I21" s="13"/>
      <c r="J21" s="14"/>
      <c r="K21" s="43">
        <v>107122500</v>
      </c>
      <c r="L21" s="13">
        <v>23803353</v>
      </c>
      <c r="M21" s="13"/>
      <c r="N21" s="14"/>
      <c r="O21" s="43">
        <v>110871788</v>
      </c>
      <c r="P21" s="13">
        <v>24636471</v>
      </c>
      <c r="Q21" s="13"/>
      <c r="R21" s="44"/>
      <c r="S21" s="294">
        <f>SUM(C21:R21)</f>
        <v>514653206</v>
      </c>
      <c r="T21" s="260" t="s">
        <v>388</v>
      </c>
    </row>
    <row r="22" spans="1:20" ht="27" customHeight="1" thickBot="1">
      <c r="A22" s="459" t="s">
        <v>410</v>
      </c>
      <c r="B22" s="460"/>
      <c r="C22" s="456">
        <f>SUM(C23:F24)</f>
        <v>12000000</v>
      </c>
      <c r="D22" s="457"/>
      <c r="E22" s="457"/>
      <c r="F22" s="458"/>
      <c r="G22" s="456">
        <f>SUM(G23:J24)</f>
        <v>12420000</v>
      </c>
      <c r="H22" s="457"/>
      <c r="I22" s="457"/>
      <c r="J22" s="458"/>
      <c r="K22" s="456">
        <f>SUM(K23:N24)</f>
        <v>12854700</v>
      </c>
      <c r="L22" s="457"/>
      <c r="M22" s="457"/>
      <c r="N22" s="458"/>
      <c r="O22" s="456">
        <f>SUM(O23:R24)</f>
        <v>13304616</v>
      </c>
      <c r="P22" s="457"/>
      <c r="Q22" s="457"/>
      <c r="R22" s="458"/>
      <c r="S22" s="523">
        <f>SUM(S23:S24)</f>
        <v>50579316</v>
      </c>
      <c r="T22" s="524"/>
    </row>
    <row r="23" spans="1:20" ht="38.25">
      <c r="A23" s="461" t="s">
        <v>335</v>
      </c>
      <c r="B23" s="35" t="s">
        <v>12</v>
      </c>
      <c r="C23" s="39">
        <v>2000000</v>
      </c>
      <c r="D23" s="36"/>
      <c r="E23" s="36"/>
      <c r="F23" s="37"/>
      <c r="G23" s="39">
        <v>2070000</v>
      </c>
      <c r="H23" s="36"/>
      <c r="I23" s="36"/>
      <c r="J23" s="37"/>
      <c r="K23" s="38">
        <v>2142450</v>
      </c>
      <c r="L23" s="36"/>
      <c r="M23" s="36"/>
      <c r="N23" s="37"/>
      <c r="O23" s="38">
        <v>2217436</v>
      </c>
      <c r="P23" s="36"/>
      <c r="Q23" s="36"/>
      <c r="R23" s="264"/>
      <c r="S23" s="294">
        <f>SUM(C23:R23)</f>
        <v>8429886</v>
      </c>
      <c r="T23" s="436" t="s">
        <v>388</v>
      </c>
    </row>
    <row r="24" spans="1:20" ht="26.25" thickBot="1">
      <c r="A24" s="462"/>
      <c r="B24" s="32" t="s">
        <v>9</v>
      </c>
      <c r="C24" s="51">
        <v>10000000</v>
      </c>
      <c r="D24" s="13"/>
      <c r="E24" s="13"/>
      <c r="F24" s="14"/>
      <c r="G24" s="16">
        <v>10350000</v>
      </c>
      <c r="H24" s="11"/>
      <c r="I24" s="11"/>
      <c r="J24" s="12"/>
      <c r="K24" s="10">
        <v>10712250</v>
      </c>
      <c r="L24" s="11"/>
      <c r="M24" s="11"/>
      <c r="N24" s="12"/>
      <c r="O24" s="10">
        <v>11087180</v>
      </c>
      <c r="P24" s="11"/>
      <c r="Q24" s="11"/>
      <c r="R24" s="15"/>
      <c r="S24" s="294">
        <f>SUM(C24:R24)</f>
        <v>42149430</v>
      </c>
      <c r="T24" s="436"/>
    </row>
    <row r="25" spans="1:20" ht="27" customHeight="1" thickBot="1">
      <c r="A25" s="459" t="s">
        <v>411</v>
      </c>
      <c r="B25" s="460"/>
      <c r="C25" s="456">
        <f>SUM(C26:F26)</f>
        <v>377409200</v>
      </c>
      <c r="D25" s="457"/>
      <c r="E25" s="457"/>
      <c r="F25" s="458"/>
      <c r="G25" s="456">
        <f>SUM(G26:J26)</f>
        <v>400000000</v>
      </c>
      <c r="H25" s="457"/>
      <c r="I25" s="457"/>
      <c r="J25" s="458"/>
      <c r="K25" s="457">
        <f>SUM(K26:N26)</f>
        <v>414000000</v>
      </c>
      <c r="L25" s="457"/>
      <c r="M25" s="457"/>
      <c r="N25" s="458"/>
      <c r="O25" s="457">
        <f>SUM(O26:R26)</f>
        <v>428490000</v>
      </c>
      <c r="P25" s="457"/>
      <c r="Q25" s="457"/>
      <c r="R25" s="457"/>
      <c r="S25" s="523">
        <f>SUM(S26)</f>
        <v>1619899200</v>
      </c>
      <c r="T25" s="524"/>
    </row>
    <row r="26" spans="1:20" ht="39" thickBot="1">
      <c r="A26" s="33" t="s">
        <v>335</v>
      </c>
      <c r="B26" s="40" t="s">
        <v>10</v>
      </c>
      <c r="C26" s="52">
        <v>377409200</v>
      </c>
      <c r="D26" s="41"/>
      <c r="E26" s="41"/>
      <c r="F26" s="42"/>
      <c r="G26" s="45">
        <v>400000000</v>
      </c>
      <c r="H26" s="13"/>
      <c r="I26" s="13"/>
      <c r="J26" s="14"/>
      <c r="K26" s="43">
        <v>414000000</v>
      </c>
      <c r="L26" s="13"/>
      <c r="M26" s="13"/>
      <c r="N26" s="14"/>
      <c r="O26" s="43">
        <v>428490000</v>
      </c>
      <c r="P26" s="13"/>
      <c r="Q26" s="13"/>
      <c r="R26" s="44"/>
      <c r="S26" s="294">
        <f>SUM(C26:R26)</f>
        <v>1619899200</v>
      </c>
      <c r="T26" s="260" t="s">
        <v>388</v>
      </c>
    </row>
    <row r="27" spans="1:20" ht="16.5" thickBot="1">
      <c r="A27" s="499" t="s">
        <v>280</v>
      </c>
      <c r="B27" s="500"/>
      <c r="C27" s="230">
        <f>+C13+C14+C16+C17+C19+C21+C23+C24+C26+C18</f>
        <v>569909200</v>
      </c>
      <c r="D27" s="231">
        <f>+D13+D14+D16+D17+D19+D21+D23+D24+D26</f>
        <v>22220685</v>
      </c>
      <c r="E27" s="231">
        <f>+E13+E14+E16+E17+E19+E21+E23+E24+E26</f>
        <v>0</v>
      </c>
      <c r="F27" s="298">
        <f>+F13+F14+F16+F17+F19+F21+F23+F24+F26</f>
        <v>0</v>
      </c>
      <c r="G27" s="393">
        <f>+G13+G14+G16+G17+G18+G19+G21+G23+G24+G26</f>
        <v>614580000</v>
      </c>
      <c r="H27" s="393">
        <f aca="true" t="shared" si="0" ref="H27:R27">+H13+H14+H16+H17+H18+H19+H21+H23+H24+H26</f>
        <v>22998409</v>
      </c>
      <c r="I27" s="393">
        <f t="shared" si="0"/>
        <v>0</v>
      </c>
      <c r="J27" s="393">
        <f t="shared" si="0"/>
        <v>0</v>
      </c>
      <c r="K27" s="393">
        <f t="shared" si="0"/>
        <v>615390300</v>
      </c>
      <c r="L27" s="393">
        <f t="shared" si="0"/>
        <v>23803353</v>
      </c>
      <c r="M27" s="393">
        <f t="shared" si="0"/>
        <v>0</v>
      </c>
      <c r="N27" s="393">
        <f t="shared" si="0"/>
        <v>0</v>
      </c>
      <c r="O27" s="393">
        <f t="shared" si="0"/>
        <v>658353464</v>
      </c>
      <c r="P27" s="393">
        <f t="shared" si="0"/>
        <v>24636471</v>
      </c>
      <c r="Q27" s="393">
        <f t="shared" si="0"/>
        <v>0</v>
      </c>
      <c r="R27" s="393">
        <f t="shared" si="0"/>
        <v>0</v>
      </c>
      <c r="S27" s="824">
        <f>+S12+S15+S20+S22+S25</f>
        <v>2551891882</v>
      </c>
      <c r="T27" s="825"/>
    </row>
    <row r="28" spans="1:20" ht="12.75" customHeight="1">
      <c r="A28" s="501" t="s">
        <v>214</v>
      </c>
      <c r="B28" s="502"/>
      <c r="C28" s="505" t="s">
        <v>5</v>
      </c>
      <c r="D28" s="506"/>
      <c r="E28" s="506"/>
      <c r="F28" s="506"/>
      <c r="G28" s="507"/>
      <c r="H28" s="507" t="s">
        <v>5</v>
      </c>
      <c r="I28" s="507"/>
      <c r="J28" s="507"/>
      <c r="K28" s="507"/>
      <c r="L28" s="507"/>
      <c r="M28" s="507"/>
      <c r="N28" s="507"/>
      <c r="O28" s="507"/>
      <c r="P28" s="507"/>
      <c r="Q28" s="507"/>
      <c r="R28" s="507"/>
      <c r="S28" s="826"/>
      <c r="T28" s="827"/>
    </row>
    <row r="29" spans="1:20" ht="12.75" customHeight="1">
      <c r="A29" s="503"/>
      <c r="B29" s="504"/>
      <c r="C29" s="508" t="s">
        <v>58</v>
      </c>
      <c r="D29" s="509"/>
      <c r="E29" s="509"/>
      <c r="F29" s="509"/>
      <c r="G29" s="509"/>
      <c r="H29" s="509"/>
      <c r="I29" s="509"/>
      <c r="J29" s="509"/>
      <c r="K29" s="509"/>
      <c r="L29" s="509"/>
      <c r="M29" s="509"/>
      <c r="N29" s="509"/>
      <c r="O29" s="509"/>
      <c r="P29" s="509"/>
      <c r="Q29" s="509"/>
      <c r="R29" s="509"/>
      <c r="S29" s="828"/>
      <c r="T29" s="829"/>
    </row>
    <row r="30" spans="1:20" ht="12.75" customHeight="1">
      <c r="A30" s="503"/>
      <c r="B30" s="504"/>
      <c r="C30" s="508" t="s">
        <v>59</v>
      </c>
      <c r="D30" s="509"/>
      <c r="E30" s="509"/>
      <c r="F30" s="509"/>
      <c r="G30" s="509"/>
      <c r="H30" s="509" t="s">
        <v>59</v>
      </c>
      <c r="I30" s="509"/>
      <c r="J30" s="509"/>
      <c r="K30" s="509"/>
      <c r="L30" s="509"/>
      <c r="M30" s="509"/>
      <c r="N30" s="509"/>
      <c r="O30" s="509"/>
      <c r="P30" s="509"/>
      <c r="Q30" s="509"/>
      <c r="R30" s="509"/>
      <c r="S30" s="828"/>
      <c r="T30" s="829"/>
    </row>
    <row r="31" spans="1:20" ht="12.75" customHeight="1">
      <c r="A31" s="503"/>
      <c r="B31" s="504"/>
      <c r="C31" s="508" t="s">
        <v>60</v>
      </c>
      <c r="D31" s="509"/>
      <c r="E31" s="509"/>
      <c r="F31" s="509"/>
      <c r="G31" s="509"/>
      <c r="H31" s="509" t="s">
        <v>60</v>
      </c>
      <c r="I31" s="509"/>
      <c r="J31" s="509"/>
      <c r="K31" s="509"/>
      <c r="L31" s="509"/>
      <c r="M31" s="509"/>
      <c r="N31" s="509"/>
      <c r="O31" s="509"/>
      <c r="P31" s="509"/>
      <c r="Q31" s="509"/>
      <c r="R31" s="509"/>
      <c r="S31" s="828"/>
      <c r="T31" s="829"/>
    </row>
    <row r="32" spans="1:20" ht="12.75" customHeight="1" thickBot="1">
      <c r="A32" s="503"/>
      <c r="B32" s="504"/>
      <c r="C32" s="508" t="s">
        <v>62</v>
      </c>
      <c r="D32" s="509"/>
      <c r="E32" s="509"/>
      <c r="F32" s="509"/>
      <c r="G32" s="509"/>
      <c r="H32" s="509" t="s">
        <v>62</v>
      </c>
      <c r="I32" s="509"/>
      <c r="J32" s="509"/>
      <c r="K32" s="509"/>
      <c r="L32" s="509"/>
      <c r="M32" s="509"/>
      <c r="N32" s="509"/>
      <c r="O32" s="509"/>
      <c r="P32" s="509"/>
      <c r="Q32" s="509"/>
      <c r="R32" s="509"/>
      <c r="S32" s="828"/>
      <c r="T32" s="829"/>
    </row>
    <row r="33" spans="1:20" ht="16.5" thickBot="1">
      <c r="A33" s="466" t="s">
        <v>312</v>
      </c>
      <c r="B33" s="467"/>
      <c r="C33" s="468">
        <f>+C34</f>
        <v>642604120</v>
      </c>
      <c r="D33" s="469"/>
      <c r="E33" s="469"/>
      <c r="F33" s="470"/>
      <c r="G33" s="468">
        <f>+G34</f>
        <v>1182195264</v>
      </c>
      <c r="H33" s="469"/>
      <c r="I33" s="469"/>
      <c r="J33" s="470"/>
      <c r="K33" s="469">
        <f>+K34</f>
        <v>1202572099</v>
      </c>
      <c r="L33" s="469"/>
      <c r="M33" s="469"/>
      <c r="N33" s="470"/>
      <c r="O33" s="469">
        <f>+O34</f>
        <v>973662124</v>
      </c>
      <c r="P33" s="469"/>
      <c r="Q33" s="469"/>
      <c r="R33" s="469"/>
      <c r="S33" s="583">
        <f>SUM(C33:R33)</f>
        <v>4001033607</v>
      </c>
      <c r="T33" s="584"/>
    </row>
    <row r="34" spans="1:20" ht="27" customHeight="1" thickBot="1">
      <c r="A34" s="510" t="s">
        <v>412</v>
      </c>
      <c r="B34" s="511"/>
      <c r="C34" s="512">
        <f>SUM(C35:F39)</f>
        <v>642604120</v>
      </c>
      <c r="D34" s="513"/>
      <c r="E34" s="513"/>
      <c r="F34" s="514"/>
      <c r="G34" s="512">
        <f>SUM(G35:J39)</f>
        <v>1182195264</v>
      </c>
      <c r="H34" s="513"/>
      <c r="I34" s="513"/>
      <c r="J34" s="514"/>
      <c r="K34" s="513">
        <f>SUM(K35:N39)</f>
        <v>1202572099</v>
      </c>
      <c r="L34" s="513"/>
      <c r="M34" s="513"/>
      <c r="N34" s="514"/>
      <c r="O34" s="513">
        <f>SUM(O35:R39)</f>
        <v>973662124</v>
      </c>
      <c r="P34" s="513"/>
      <c r="Q34" s="513"/>
      <c r="R34" s="513"/>
      <c r="S34" s="523">
        <f>SUM(S35:S39)</f>
        <v>4001033607</v>
      </c>
      <c r="T34" s="524"/>
    </row>
    <row r="35" spans="1:20" ht="25.5">
      <c r="A35" s="525" t="s">
        <v>335</v>
      </c>
      <c r="B35" s="53" t="s">
        <v>442</v>
      </c>
      <c r="C35" s="360">
        <v>15000000</v>
      </c>
      <c r="D35" s="10">
        <f>195017182+59181938</f>
        <v>254199120</v>
      </c>
      <c r="E35" s="11"/>
      <c r="F35" s="12"/>
      <c r="G35" s="16">
        <v>15525000</v>
      </c>
      <c r="H35" s="11">
        <f>201842783+61253306</f>
        <v>263096089</v>
      </c>
      <c r="I35" s="11"/>
      <c r="J35" s="12"/>
      <c r="K35" s="10">
        <v>16068375</v>
      </c>
      <c r="L35" s="11">
        <f>208907281+63397172</f>
        <v>272304453</v>
      </c>
      <c r="M35" s="11"/>
      <c r="N35" s="12"/>
      <c r="O35" s="10">
        <v>16630768</v>
      </c>
      <c r="P35" s="11">
        <f>216219036+65616073</f>
        <v>281835109</v>
      </c>
      <c r="Q35" s="11"/>
      <c r="R35" s="15"/>
      <c r="S35" s="294">
        <f>SUM(C35:R35)</f>
        <v>1134658914</v>
      </c>
      <c r="T35" s="436" t="s">
        <v>388</v>
      </c>
    </row>
    <row r="36" spans="1:20" ht="25.5">
      <c r="A36" s="526"/>
      <c r="B36" s="54" t="s">
        <v>122</v>
      </c>
      <c r="C36" s="38">
        <v>70000000</v>
      </c>
      <c r="D36" s="10"/>
      <c r="E36" s="13">
        <v>40000000</v>
      </c>
      <c r="F36" s="12"/>
      <c r="G36" s="16">
        <v>300000000</v>
      </c>
      <c r="H36" s="11"/>
      <c r="I36" s="11">
        <v>300000000</v>
      </c>
      <c r="J36" s="12"/>
      <c r="K36" s="10">
        <v>300000000</v>
      </c>
      <c r="L36" s="11"/>
      <c r="M36" s="11">
        <v>300000000</v>
      </c>
      <c r="N36" s="12"/>
      <c r="O36" s="10">
        <v>200000000</v>
      </c>
      <c r="P36" s="11"/>
      <c r="Q36" s="11">
        <v>150000000</v>
      </c>
      <c r="R36" s="15"/>
      <c r="S36" s="294">
        <f>SUM(C36:R36)</f>
        <v>1660000000</v>
      </c>
      <c r="T36" s="436"/>
    </row>
    <row r="37" spans="1:20" ht="25.5">
      <c r="A37" s="526"/>
      <c r="B37" s="358" t="s">
        <v>128</v>
      </c>
      <c r="C37" s="38">
        <v>30000000</v>
      </c>
      <c r="D37" s="55"/>
      <c r="E37" s="11"/>
      <c r="F37" s="56"/>
      <c r="G37" s="16">
        <v>50000000</v>
      </c>
      <c r="H37" s="11"/>
      <c r="I37" s="11"/>
      <c r="J37" s="12"/>
      <c r="K37" s="10">
        <v>51750000</v>
      </c>
      <c r="L37" s="11"/>
      <c r="M37" s="11"/>
      <c r="N37" s="12"/>
      <c r="O37" s="10">
        <v>53561250</v>
      </c>
      <c r="P37" s="11"/>
      <c r="Q37" s="11"/>
      <c r="R37" s="15"/>
      <c r="S37" s="294">
        <f>SUM(C37:R37)</f>
        <v>185311250</v>
      </c>
      <c r="T37" s="436"/>
    </row>
    <row r="38" spans="1:20" ht="25.5">
      <c r="A38" s="526"/>
      <c r="B38" s="362" t="s">
        <v>443</v>
      </c>
      <c r="C38" s="38">
        <v>147241000</v>
      </c>
      <c r="D38" s="10">
        <v>86164000</v>
      </c>
      <c r="E38" s="8"/>
      <c r="F38" s="12"/>
      <c r="G38" s="16">
        <v>152394435</v>
      </c>
      <c r="H38" s="11">
        <v>89179740</v>
      </c>
      <c r="I38" s="11"/>
      <c r="J38" s="12"/>
      <c r="K38" s="10">
        <v>157728240</v>
      </c>
      <c r="L38" s="11">
        <v>92301031</v>
      </c>
      <c r="M38" s="11"/>
      <c r="N38" s="12"/>
      <c r="O38" s="10">
        <v>163248730</v>
      </c>
      <c r="P38" s="11">
        <v>95531567</v>
      </c>
      <c r="Q38" s="11"/>
      <c r="R38" s="15"/>
      <c r="S38" s="294">
        <f>SUM(C38:R38)</f>
        <v>983788743</v>
      </c>
      <c r="T38" s="436"/>
    </row>
    <row r="39" spans="1:20" ht="39" thickBot="1">
      <c r="A39" s="527"/>
      <c r="B39" s="359" t="s">
        <v>505</v>
      </c>
      <c r="C39" s="361"/>
      <c r="D39" s="43"/>
      <c r="E39" s="13"/>
      <c r="F39" s="14"/>
      <c r="G39" s="45">
        <v>12000000</v>
      </c>
      <c r="H39" s="13"/>
      <c r="I39" s="13"/>
      <c r="J39" s="14"/>
      <c r="K39" s="43">
        <v>12420000</v>
      </c>
      <c r="L39" s="13"/>
      <c r="M39" s="13"/>
      <c r="N39" s="14"/>
      <c r="O39" s="43">
        <v>12854700</v>
      </c>
      <c r="P39" s="13"/>
      <c r="Q39" s="13"/>
      <c r="R39" s="44"/>
      <c r="S39" s="294">
        <f>SUM(C39:R39)</f>
        <v>37274700</v>
      </c>
      <c r="T39" s="436"/>
    </row>
    <row r="40" spans="1:20" ht="16.5" thickBot="1">
      <c r="A40" s="499" t="s">
        <v>280</v>
      </c>
      <c r="B40" s="500"/>
      <c r="C40" s="230">
        <f>SUM(C35:C39)</f>
        <v>262241000</v>
      </c>
      <c r="D40" s="231">
        <f>SUM(D35:D39)</f>
        <v>340363120</v>
      </c>
      <c r="E40" s="231">
        <f>SUM(E35:E39)</f>
        <v>40000000</v>
      </c>
      <c r="F40" s="232">
        <f>SUM(F35:F39)</f>
        <v>0</v>
      </c>
      <c r="G40" s="230">
        <f>SUM(G35:G39)</f>
        <v>529919435</v>
      </c>
      <c r="H40" s="230">
        <f aca="true" t="shared" si="1" ref="H40:R40">SUM(H35:H39)</f>
        <v>352275829</v>
      </c>
      <c r="I40" s="230">
        <f t="shared" si="1"/>
        <v>300000000</v>
      </c>
      <c r="J40" s="230">
        <f t="shared" si="1"/>
        <v>0</v>
      </c>
      <c r="K40" s="230">
        <f t="shared" si="1"/>
        <v>537966615</v>
      </c>
      <c r="L40" s="230">
        <f t="shared" si="1"/>
        <v>364605484</v>
      </c>
      <c r="M40" s="230">
        <f t="shared" si="1"/>
        <v>300000000</v>
      </c>
      <c r="N40" s="230">
        <f t="shared" si="1"/>
        <v>0</v>
      </c>
      <c r="O40" s="230">
        <f t="shared" si="1"/>
        <v>446295448</v>
      </c>
      <c r="P40" s="230">
        <f t="shared" si="1"/>
        <v>377366676</v>
      </c>
      <c r="Q40" s="230">
        <f t="shared" si="1"/>
        <v>150000000</v>
      </c>
      <c r="R40" s="257">
        <f t="shared" si="1"/>
        <v>0</v>
      </c>
      <c r="S40" s="539">
        <f>+S34</f>
        <v>4001033607</v>
      </c>
      <c r="T40" s="540"/>
    </row>
    <row r="41" spans="1:20" ht="21" customHeight="1">
      <c r="A41" s="568"/>
      <c r="B41" s="569"/>
      <c r="C41" s="528">
        <v>2012</v>
      </c>
      <c r="D41" s="529"/>
      <c r="E41" s="529"/>
      <c r="F41" s="570"/>
      <c r="G41" s="528">
        <v>2013</v>
      </c>
      <c r="H41" s="529"/>
      <c r="I41" s="529"/>
      <c r="J41" s="570"/>
      <c r="K41" s="528">
        <v>2014</v>
      </c>
      <c r="L41" s="529"/>
      <c r="M41" s="529"/>
      <c r="N41" s="570"/>
      <c r="O41" s="528">
        <v>2015</v>
      </c>
      <c r="P41" s="529"/>
      <c r="Q41" s="529"/>
      <c r="R41" s="530"/>
      <c r="S41" s="691" t="s">
        <v>386</v>
      </c>
      <c r="T41" s="693" t="s">
        <v>403</v>
      </c>
    </row>
    <row r="42" spans="1:20" ht="26.25" customHeight="1" thickBot="1">
      <c r="A42" s="247" t="s">
        <v>0</v>
      </c>
      <c r="B42" s="248" t="s">
        <v>284</v>
      </c>
      <c r="C42" s="151" t="s">
        <v>1</v>
      </c>
      <c r="D42" s="152" t="s">
        <v>2</v>
      </c>
      <c r="E42" s="152" t="s">
        <v>3</v>
      </c>
      <c r="F42" s="153" t="s">
        <v>4</v>
      </c>
      <c r="G42" s="151" t="s">
        <v>1</v>
      </c>
      <c r="H42" s="152" t="s">
        <v>2</v>
      </c>
      <c r="I42" s="152" t="s">
        <v>3</v>
      </c>
      <c r="J42" s="153" t="s">
        <v>4</v>
      </c>
      <c r="K42" s="151" t="s">
        <v>1</v>
      </c>
      <c r="L42" s="152" t="s">
        <v>2</v>
      </c>
      <c r="M42" s="152" t="s">
        <v>3</v>
      </c>
      <c r="N42" s="153" t="s">
        <v>4</v>
      </c>
      <c r="O42" s="151" t="s">
        <v>1</v>
      </c>
      <c r="P42" s="152" t="s">
        <v>2</v>
      </c>
      <c r="Q42" s="152" t="s">
        <v>3</v>
      </c>
      <c r="R42" s="209" t="s">
        <v>4</v>
      </c>
      <c r="S42" s="692"/>
      <c r="T42" s="694"/>
    </row>
    <row r="43" spans="1:20" ht="12.75" customHeight="1">
      <c r="A43" s="515" t="s">
        <v>216</v>
      </c>
      <c r="B43" s="516"/>
      <c r="C43" s="505" t="s">
        <v>5</v>
      </c>
      <c r="D43" s="506"/>
      <c r="E43" s="506"/>
      <c r="F43" s="506"/>
      <c r="G43" s="506"/>
      <c r="H43" s="506" t="s">
        <v>5</v>
      </c>
      <c r="I43" s="506"/>
      <c r="J43" s="506"/>
      <c r="K43" s="506"/>
      <c r="L43" s="506"/>
      <c r="M43" s="506"/>
      <c r="N43" s="506"/>
      <c r="O43" s="506"/>
      <c r="P43" s="506"/>
      <c r="Q43" s="506"/>
      <c r="R43" s="506"/>
      <c r="S43" s="301"/>
      <c r="T43" s="302"/>
    </row>
    <row r="44" spans="1:20" ht="12.75" customHeight="1">
      <c r="A44" s="517"/>
      <c r="B44" s="518"/>
      <c r="C44" s="508" t="s">
        <v>70</v>
      </c>
      <c r="D44" s="509"/>
      <c r="E44" s="509"/>
      <c r="F44" s="509"/>
      <c r="G44" s="509"/>
      <c r="H44" s="509"/>
      <c r="I44" s="509"/>
      <c r="J44" s="509"/>
      <c r="K44" s="509"/>
      <c r="L44" s="509"/>
      <c r="M44" s="509"/>
      <c r="N44" s="509"/>
      <c r="O44" s="509"/>
      <c r="P44" s="509"/>
      <c r="Q44" s="509"/>
      <c r="R44" s="509"/>
      <c r="S44" s="301"/>
      <c r="T44" s="302"/>
    </row>
    <row r="45" spans="1:20" ht="12.75" customHeight="1">
      <c r="A45" s="517"/>
      <c r="B45" s="518"/>
      <c r="C45" s="508" t="s">
        <v>71</v>
      </c>
      <c r="D45" s="509"/>
      <c r="E45" s="509"/>
      <c r="F45" s="509"/>
      <c r="G45" s="509"/>
      <c r="H45" s="509"/>
      <c r="I45" s="509"/>
      <c r="J45" s="509"/>
      <c r="K45" s="509"/>
      <c r="L45" s="509"/>
      <c r="M45" s="509"/>
      <c r="N45" s="509"/>
      <c r="O45" s="509"/>
      <c r="P45" s="509"/>
      <c r="Q45" s="509"/>
      <c r="R45" s="509"/>
      <c r="S45" s="301"/>
      <c r="T45" s="302"/>
    </row>
    <row r="46" spans="1:20" ht="12.75" customHeight="1" thickBot="1">
      <c r="A46" s="519"/>
      <c r="B46" s="520"/>
      <c r="C46" s="521" t="s">
        <v>72</v>
      </c>
      <c r="D46" s="522"/>
      <c r="E46" s="522"/>
      <c r="F46" s="522"/>
      <c r="G46" s="522"/>
      <c r="H46" s="522"/>
      <c r="I46" s="522"/>
      <c r="J46" s="522"/>
      <c r="K46" s="522"/>
      <c r="L46" s="522"/>
      <c r="M46" s="522"/>
      <c r="N46" s="522"/>
      <c r="O46" s="522"/>
      <c r="P46" s="522"/>
      <c r="Q46" s="522"/>
      <c r="R46" s="522"/>
      <c r="S46" s="303"/>
      <c r="T46" s="304"/>
    </row>
    <row r="47" spans="1:20" ht="16.5" customHeight="1" thickBot="1">
      <c r="A47" s="466" t="s">
        <v>311</v>
      </c>
      <c r="B47" s="467"/>
      <c r="C47" s="468">
        <f>+C48+C51</f>
        <v>389050000</v>
      </c>
      <c r="D47" s="469"/>
      <c r="E47" s="469"/>
      <c r="F47" s="470"/>
      <c r="G47" s="411">
        <f>+G48+G51</f>
        <v>542666750</v>
      </c>
      <c r="H47" s="412"/>
      <c r="I47" s="412"/>
      <c r="J47" s="413"/>
      <c r="K47" s="468">
        <f>+K48+K51</f>
        <v>876760087</v>
      </c>
      <c r="L47" s="469"/>
      <c r="M47" s="469"/>
      <c r="N47" s="470"/>
      <c r="O47" s="468">
        <f>+O48+O51</f>
        <v>681346692</v>
      </c>
      <c r="P47" s="469"/>
      <c r="Q47" s="469"/>
      <c r="R47" s="470"/>
      <c r="S47" s="583">
        <f>SUM(C47:R47)</f>
        <v>2489823529</v>
      </c>
      <c r="T47" s="584"/>
    </row>
    <row r="48" spans="1:20" ht="27" customHeight="1" thickBot="1">
      <c r="A48" s="510" t="s">
        <v>413</v>
      </c>
      <c r="B48" s="511"/>
      <c r="C48" s="512">
        <f>SUM(C49:F50)</f>
        <v>62000000</v>
      </c>
      <c r="D48" s="513"/>
      <c r="E48" s="513"/>
      <c r="F48" s="514"/>
      <c r="G48" s="513">
        <f>SUM(G49:J50)</f>
        <v>64170000</v>
      </c>
      <c r="H48" s="513"/>
      <c r="I48" s="513"/>
      <c r="J48" s="514"/>
      <c r="K48" s="513">
        <f>SUM(K49:N50)</f>
        <v>66415950</v>
      </c>
      <c r="L48" s="513"/>
      <c r="M48" s="513"/>
      <c r="N48" s="514"/>
      <c r="O48" s="513">
        <f>SUM(O49:R50)</f>
        <v>68740509</v>
      </c>
      <c r="P48" s="513"/>
      <c r="Q48" s="513"/>
      <c r="R48" s="513"/>
      <c r="S48" s="523">
        <f>SUM(S49:S50)</f>
        <v>261326459</v>
      </c>
      <c r="T48" s="524"/>
    </row>
    <row r="49" spans="1:20" ht="18.75" customHeight="1">
      <c r="A49" s="438" t="s">
        <v>363</v>
      </c>
      <c r="B49" s="35" t="s">
        <v>353</v>
      </c>
      <c r="C49" s="39"/>
      <c r="D49" s="11">
        <v>5000000</v>
      </c>
      <c r="E49" s="59"/>
      <c r="F49" s="60"/>
      <c r="G49" s="10"/>
      <c r="H49" s="11">
        <v>5175000</v>
      </c>
      <c r="I49" s="11"/>
      <c r="J49" s="12"/>
      <c r="K49" s="10"/>
      <c r="L49" s="11">
        <v>5356125</v>
      </c>
      <c r="M49" s="11"/>
      <c r="N49" s="12"/>
      <c r="O49" s="61"/>
      <c r="P49" s="11">
        <v>5543589</v>
      </c>
      <c r="Q49" s="59"/>
      <c r="R49" s="267"/>
      <c r="S49" s="294">
        <f>SUM(C49:R49)</f>
        <v>21074714</v>
      </c>
      <c r="T49" s="436" t="s">
        <v>388</v>
      </c>
    </row>
    <row r="50" spans="1:20" ht="26.25" thickBot="1">
      <c r="A50" s="440"/>
      <c r="B50" s="32" t="s">
        <v>354</v>
      </c>
      <c r="C50" s="39"/>
      <c r="D50" s="11">
        <v>57000000</v>
      </c>
      <c r="E50" s="59"/>
      <c r="F50" s="60"/>
      <c r="G50" s="10"/>
      <c r="H50" s="11">
        <v>58995000</v>
      </c>
      <c r="I50" s="11"/>
      <c r="J50" s="12"/>
      <c r="K50" s="10"/>
      <c r="L50" s="11">
        <v>61059825</v>
      </c>
      <c r="M50" s="11"/>
      <c r="N50" s="12"/>
      <c r="O50" s="61"/>
      <c r="P50" s="11">
        <v>63196920</v>
      </c>
      <c r="Q50" s="59"/>
      <c r="R50" s="267"/>
      <c r="S50" s="294">
        <f>SUM(C50:R50)</f>
        <v>240251745</v>
      </c>
      <c r="T50" s="436"/>
    </row>
    <row r="51" spans="1:20" ht="27" customHeight="1" thickBot="1">
      <c r="A51" s="510" t="s">
        <v>414</v>
      </c>
      <c r="B51" s="511"/>
      <c r="C51" s="456">
        <f>SUM(C52:F60)</f>
        <v>327050000</v>
      </c>
      <c r="D51" s="457"/>
      <c r="E51" s="457"/>
      <c r="F51" s="458"/>
      <c r="G51" s="457">
        <f>SUM(G52:J60)</f>
        <v>478496750</v>
      </c>
      <c r="H51" s="457"/>
      <c r="I51" s="457"/>
      <c r="J51" s="458"/>
      <c r="K51" s="457">
        <f>SUM(K52:N60)</f>
        <v>810344137</v>
      </c>
      <c r="L51" s="457"/>
      <c r="M51" s="457"/>
      <c r="N51" s="458"/>
      <c r="O51" s="457">
        <f>SUM(O52:R60)</f>
        <v>612606183</v>
      </c>
      <c r="P51" s="457"/>
      <c r="Q51" s="457"/>
      <c r="R51" s="457"/>
      <c r="S51" s="523">
        <f>SUM(S52:S60)</f>
        <v>2228497070</v>
      </c>
      <c r="T51" s="524"/>
    </row>
    <row r="52" spans="1:20" ht="38.25" customHeight="1">
      <c r="A52" s="438" t="s">
        <v>374</v>
      </c>
      <c r="B52" s="35" t="s">
        <v>14</v>
      </c>
      <c r="C52" s="65">
        <v>50000000</v>
      </c>
      <c r="D52" s="98">
        <v>16000000</v>
      </c>
      <c r="E52" s="98">
        <v>4000000</v>
      </c>
      <c r="F52" s="99"/>
      <c r="G52" s="10">
        <v>51750000</v>
      </c>
      <c r="H52" s="11">
        <v>16560000</v>
      </c>
      <c r="I52" s="11">
        <v>4140000</v>
      </c>
      <c r="J52" s="12"/>
      <c r="K52" s="10">
        <v>53561250</v>
      </c>
      <c r="L52" s="98">
        <v>17139600</v>
      </c>
      <c r="M52" s="11">
        <v>4284900</v>
      </c>
      <c r="N52" s="60"/>
      <c r="O52" s="10">
        <v>55435894</v>
      </c>
      <c r="P52" s="11">
        <v>17739486</v>
      </c>
      <c r="Q52" s="11">
        <v>4434872</v>
      </c>
      <c r="R52" s="15"/>
      <c r="S52" s="294">
        <f aca="true" t="shared" si="2" ref="S52:S60">SUM(C52:R52)</f>
        <v>295046002</v>
      </c>
      <c r="T52" s="436" t="s">
        <v>388</v>
      </c>
    </row>
    <row r="53" spans="1:20" ht="25.5">
      <c r="A53" s="439"/>
      <c r="B53" s="31" t="s">
        <v>73</v>
      </c>
      <c r="C53" s="65">
        <v>50000000</v>
      </c>
      <c r="D53" s="98">
        <v>49700000</v>
      </c>
      <c r="E53" s="98"/>
      <c r="F53" s="99"/>
      <c r="G53" s="10">
        <v>51750000</v>
      </c>
      <c r="H53" s="11">
        <v>51439500</v>
      </c>
      <c r="I53" s="11"/>
      <c r="J53" s="12"/>
      <c r="K53" s="10">
        <v>53561250</v>
      </c>
      <c r="L53" s="11">
        <v>53239883</v>
      </c>
      <c r="M53" s="59"/>
      <c r="N53" s="60"/>
      <c r="O53" s="10">
        <v>55435894</v>
      </c>
      <c r="P53" s="11">
        <v>55103278</v>
      </c>
      <c r="Q53" s="11"/>
      <c r="R53" s="15"/>
      <c r="S53" s="294">
        <f t="shared" si="2"/>
        <v>420229805</v>
      </c>
      <c r="T53" s="436"/>
    </row>
    <row r="54" spans="1:20" ht="25.5">
      <c r="A54" s="439"/>
      <c r="B54" s="31" t="s">
        <v>13</v>
      </c>
      <c r="C54" s="65"/>
      <c r="D54" s="98"/>
      <c r="E54" s="98"/>
      <c r="F54" s="99"/>
      <c r="G54" s="10"/>
      <c r="H54" s="11"/>
      <c r="I54" s="11"/>
      <c r="J54" s="12"/>
      <c r="K54" s="10">
        <v>200000000</v>
      </c>
      <c r="L54" s="11"/>
      <c r="M54" s="11"/>
      <c r="N54" s="12">
        <v>50000000</v>
      </c>
      <c r="O54" s="10">
        <v>200000000</v>
      </c>
      <c r="P54" s="11"/>
      <c r="Q54" s="11"/>
      <c r="R54" s="15">
        <v>50000000</v>
      </c>
      <c r="S54" s="294">
        <f t="shared" si="2"/>
        <v>500000000</v>
      </c>
      <c r="T54" s="436"/>
    </row>
    <row r="55" spans="1:20" ht="25.5">
      <c r="A55" s="439"/>
      <c r="B55" s="31" t="s">
        <v>74</v>
      </c>
      <c r="C55" s="65"/>
      <c r="D55" s="98"/>
      <c r="E55" s="98"/>
      <c r="F55" s="99"/>
      <c r="G55" s="10"/>
      <c r="H55" s="11"/>
      <c r="I55" s="11"/>
      <c r="J55" s="12"/>
      <c r="K55" s="10">
        <v>75000000</v>
      </c>
      <c r="L55" s="11"/>
      <c r="M55" s="11"/>
      <c r="N55" s="12">
        <v>75000000</v>
      </c>
      <c r="O55" s="10"/>
      <c r="P55" s="11"/>
      <c r="Q55" s="11"/>
      <c r="R55" s="15"/>
      <c r="S55" s="294">
        <f t="shared" si="2"/>
        <v>150000000</v>
      </c>
      <c r="T55" s="436"/>
    </row>
    <row r="56" spans="1:20" ht="25.5">
      <c r="A56" s="439"/>
      <c r="B56" s="31" t="s">
        <v>129</v>
      </c>
      <c r="C56" s="65"/>
      <c r="D56" s="98"/>
      <c r="E56" s="98"/>
      <c r="F56" s="99"/>
      <c r="G56" s="38">
        <v>140000000</v>
      </c>
      <c r="H56" s="11"/>
      <c r="I56" s="11"/>
      <c r="J56" s="12"/>
      <c r="K56" s="10">
        <v>60000000</v>
      </c>
      <c r="L56" s="11"/>
      <c r="M56" s="11"/>
      <c r="N56" s="12"/>
      <c r="O56" s="10"/>
      <c r="P56" s="11"/>
      <c r="Q56" s="11"/>
      <c r="R56" s="15"/>
      <c r="S56" s="294">
        <f t="shared" si="2"/>
        <v>200000000</v>
      </c>
      <c r="T56" s="436"/>
    </row>
    <row r="57" spans="1:20" ht="38.25">
      <c r="A57" s="439"/>
      <c r="B57" s="31" t="s">
        <v>355</v>
      </c>
      <c r="C57" s="65">
        <v>20000000</v>
      </c>
      <c r="D57" s="98"/>
      <c r="E57" s="98"/>
      <c r="F57" s="99"/>
      <c r="G57" s="10">
        <v>20700000</v>
      </c>
      <c r="H57" s="11"/>
      <c r="I57" s="11"/>
      <c r="J57" s="12"/>
      <c r="K57" s="10">
        <v>21424500</v>
      </c>
      <c r="L57" s="11"/>
      <c r="M57" s="11"/>
      <c r="N57" s="12"/>
      <c r="O57" s="10">
        <v>22174358</v>
      </c>
      <c r="P57" s="11"/>
      <c r="Q57" s="11"/>
      <c r="R57" s="15"/>
      <c r="S57" s="294">
        <f t="shared" si="2"/>
        <v>84298858</v>
      </c>
      <c r="T57" s="436"/>
    </row>
    <row r="58" spans="1:20" ht="25.5">
      <c r="A58" s="439"/>
      <c r="B58" s="64" t="s">
        <v>153</v>
      </c>
      <c r="C58" s="65">
        <v>10000000</v>
      </c>
      <c r="D58" s="98">
        <v>7350000</v>
      </c>
      <c r="E58" s="98"/>
      <c r="F58" s="99"/>
      <c r="G58" s="10">
        <v>10350000</v>
      </c>
      <c r="H58" s="11">
        <v>7607250</v>
      </c>
      <c r="I58" s="11"/>
      <c r="J58" s="12"/>
      <c r="K58" s="10">
        <v>10712250</v>
      </c>
      <c r="L58" s="11">
        <v>7873504</v>
      </c>
      <c r="M58" s="11"/>
      <c r="N58" s="12"/>
      <c r="O58" s="10">
        <v>11087179</v>
      </c>
      <c r="P58" s="11">
        <v>8149076</v>
      </c>
      <c r="Q58" s="11"/>
      <c r="R58" s="15"/>
      <c r="S58" s="294">
        <f t="shared" si="2"/>
        <v>73129259</v>
      </c>
      <c r="T58" s="436"/>
    </row>
    <row r="59" spans="1:20" ht="15">
      <c r="A59" s="439"/>
      <c r="B59" s="64" t="s">
        <v>154</v>
      </c>
      <c r="C59" s="65">
        <v>100000000</v>
      </c>
      <c r="D59" s="98"/>
      <c r="E59" s="98"/>
      <c r="F59" s="99"/>
      <c r="G59" s="10">
        <v>103500000</v>
      </c>
      <c r="H59" s="11"/>
      <c r="I59" s="11"/>
      <c r="J59" s="12"/>
      <c r="K59" s="10">
        <v>107122500</v>
      </c>
      <c r="L59" s="11"/>
      <c r="M59" s="11"/>
      <c r="N59" s="12"/>
      <c r="O59" s="10">
        <v>110871788</v>
      </c>
      <c r="P59" s="11"/>
      <c r="Q59" s="11"/>
      <c r="R59" s="15"/>
      <c r="S59" s="294">
        <f t="shared" si="2"/>
        <v>421494288</v>
      </c>
      <c r="T59" s="436"/>
    </row>
    <row r="60" spans="1:20" ht="51.75" thickBot="1">
      <c r="A60" s="440"/>
      <c r="B60" s="148" t="s">
        <v>75</v>
      </c>
      <c r="C60" s="84">
        <v>20000000</v>
      </c>
      <c r="D60" s="94"/>
      <c r="E60" s="94"/>
      <c r="F60" s="95"/>
      <c r="G60" s="43">
        <v>20700000</v>
      </c>
      <c r="H60" s="13"/>
      <c r="I60" s="13"/>
      <c r="J60" s="14"/>
      <c r="K60" s="43">
        <v>21424500</v>
      </c>
      <c r="L60" s="13"/>
      <c r="M60" s="13"/>
      <c r="N60" s="14"/>
      <c r="O60" s="43">
        <v>22174358</v>
      </c>
      <c r="P60" s="13"/>
      <c r="Q60" s="13"/>
      <c r="R60" s="44"/>
      <c r="S60" s="294">
        <f t="shared" si="2"/>
        <v>84298858</v>
      </c>
      <c r="T60" s="436"/>
    </row>
    <row r="61" spans="1:20" ht="16.5" thickBot="1">
      <c r="A61" s="531" t="s">
        <v>280</v>
      </c>
      <c r="B61" s="532"/>
      <c r="C61" s="230">
        <f>+C49+C50+C52+C53+C54+C55+C56+C57+C58+C59+C60</f>
        <v>250000000</v>
      </c>
      <c r="D61" s="231">
        <f>+D49+D50+D52+D53+D54+D55+D56+D57+D58+D59+D60</f>
        <v>135050000</v>
      </c>
      <c r="E61" s="231">
        <f>+E49+E50+E52+E53+E54+E55+E56+E57+E58+E59+E60</f>
        <v>4000000</v>
      </c>
      <c r="F61" s="232">
        <f>+F49+F50+F52+F53+F54+F55+F56+F57+F58+F59+F60</f>
        <v>0</v>
      </c>
      <c r="G61" s="297">
        <f>+G49+G50+G52+G53+G54+G55+G56+G57+G58+G59+G60</f>
        <v>398750000</v>
      </c>
      <c r="H61" s="231">
        <f aca="true" t="shared" si="3" ref="H61:R61">+H49+H50+H52+H53+H54+H55+H56+H57+H58+H59+H60</f>
        <v>139776750</v>
      </c>
      <c r="I61" s="231">
        <f t="shared" si="3"/>
        <v>4140000</v>
      </c>
      <c r="J61" s="232">
        <f t="shared" si="3"/>
        <v>0</v>
      </c>
      <c r="K61" s="297">
        <f t="shared" si="3"/>
        <v>602806250</v>
      </c>
      <c r="L61" s="231">
        <f t="shared" si="3"/>
        <v>144668937</v>
      </c>
      <c r="M61" s="231">
        <f t="shared" si="3"/>
        <v>4284900</v>
      </c>
      <c r="N61" s="232">
        <f t="shared" si="3"/>
        <v>125000000</v>
      </c>
      <c r="O61" s="297">
        <f t="shared" si="3"/>
        <v>477179471</v>
      </c>
      <c r="P61" s="231">
        <f t="shared" si="3"/>
        <v>149732349</v>
      </c>
      <c r="Q61" s="231">
        <f t="shared" si="3"/>
        <v>4434872</v>
      </c>
      <c r="R61" s="298">
        <f t="shared" si="3"/>
        <v>50000000</v>
      </c>
      <c r="S61" s="539">
        <f>+S48+S51</f>
        <v>2489823529</v>
      </c>
      <c r="T61" s="540"/>
    </row>
    <row r="62" spans="1:20" ht="12.75" customHeight="1">
      <c r="A62" s="533" t="s">
        <v>217</v>
      </c>
      <c r="B62" s="534"/>
      <c r="C62" s="505" t="s">
        <v>5</v>
      </c>
      <c r="D62" s="506"/>
      <c r="E62" s="506"/>
      <c r="F62" s="506"/>
      <c r="G62" s="506"/>
      <c r="H62" s="506"/>
      <c r="I62" s="506"/>
      <c r="J62" s="506"/>
      <c r="K62" s="506"/>
      <c r="L62" s="506"/>
      <c r="M62" s="506"/>
      <c r="N62" s="506"/>
      <c r="O62" s="506"/>
      <c r="P62" s="506"/>
      <c r="Q62" s="506"/>
      <c r="R62" s="506"/>
      <c r="S62" s="541"/>
      <c r="T62" s="542"/>
    </row>
    <row r="63" spans="1:20" ht="12.75" customHeight="1">
      <c r="A63" s="535"/>
      <c r="B63" s="536"/>
      <c r="C63" s="508" t="s">
        <v>76</v>
      </c>
      <c r="D63" s="509"/>
      <c r="E63" s="509"/>
      <c r="F63" s="509"/>
      <c r="G63" s="509"/>
      <c r="H63" s="509"/>
      <c r="I63" s="509"/>
      <c r="J63" s="509"/>
      <c r="K63" s="509"/>
      <c r="L63" s="509"/>
      <c r="M63" s="509"/>
      <c r="N63" s="509"/>
      <c r="O63" s="509"/>
      <c r="P63" s="509"/>
      <c r="Q63" s="509"/>
      <c r="R63" s="509"/>
      <c r="S63" s="543"/>
      <c r="T63" s="544"/>
    </row>
    <row r="64" spans="1:20" ht="12.75" customHeight="1">
      <c r="A64" s="535"/>
      <c r="B64" s="536"/>
      <c r="C64" s="508" t="s">
        <v>79</v>
      </c>
      <c r="D64" s="509"/>
      <c r="E64" s="509"/>
      <c r="F64" s="509"/>
      <c r="G64" s="509"/>
      <c r="H64" s="509"/>
      <c r="I64" s="509"/>
      <c r="J64" s="509"/>
      <c r="K64" s="509"/>
      <c r="L64" s="509"/>
      <c r="M64" s="509"/>
      <c r="N64" s="509"/>
      <c r="O64" s="509"/>
      <c r="P64" s="509"/>
      <c r="Q64" s="509"/>
      <c r="R64" s="509"/>
      <c r="S64" s="543"/>
      <c r="T64" s="544"/>
    </row>
    <row r="65" spans="1:20" ht="12.75" customHeight="1">
      <c r="A65" s="535"/>
      <c r="B65" s="536"/>
      <c r="C65" s="508" t="s">
        <v>77</v>
      </c>
      <c r="D65" s="509"/>
      <c r="E65" s="509"/>
      <c r="F65" s="509"/>
      <c r="G65" s="509"/>
      <c r="H65" s="509"/>
      <c r="I65" s="509"/>
      <c r="J65" s="509"/>
      <c r="K65" s="509"/>
      <c r="L65" s="509"/>
      <c r="M65" s="509"/>
      <c r="N65" s="509"/>
      <c r="O65" s="509"/>
      <c r="P65" s="509"/>
      <c r="Q65" s="509"/>
      <c r="R65" s="509"/>
      <c r="S65" s="543"/>
      <c r="T65" s="544"/>
    </row>
    <row r="66" spans="1:20" ht="12.75" customHeight="1">
      <c r="A66" s="535"/>
      <c r="B66" s="536"/>
      <c r="C66" s="508" t="s">
        <v>78</v>
      </c>
      <c r="D66" s="509"/>
      <c r="E66" s="509"/>
      <c r="F66" s="509"/>
      <c r="G66" s="509"/>
      <c r="H66" s="509"/>
      <c r="I66" s="509"/>
      <c r="J66" s="509"/>
      <c r="K66" s="509"/>
      <c r="L66" s="509"/>
      <c r="M66" s="509"/>
      <c r="N66" s="509"/>
      <c r="O66" s="509"/>
      <c r="P66" s="509"/>
      <c r="Q66" s="509"/>
      <c r="R66" s="509"/>
      <c r="S66" s="543"/>
      <c r="T66" s="544"/>
    </row>
    <row r="67" spans="1:20" ht="12.75" customHeight="1">
      <c r="A67" s="535"/>
      <c r="B67" s="536"/>
      <c r="C67" s="508" t="s">
        <v>444</v>
      </c>
      <c r="D67" s="509"/>
      <c r="E67" s="509"/>
      <c r="F67" s="509"/>
      <c r="G67" s="509"/>
      <c r="H67" s="509"/>
      <c r="I67" s="509"/>
      <c r="J67" s="509"/>
      <c r="K67" s="509"/>
      <c r="L67" s="509"/>
      <c r="M67" s="509"/>
      <c r="N67" s="509"/>
      <c r="O67" s="509"/>
      <c r="P67" s="509"/>
      <c r="Q67" s="509"/>
      <c r="R67" s="509"/>
      <c r="S67" s="543"/>
      <c r="T67" s="544"/>
    </row>
    <row r="68" spans="1:20" ht="12.75" customHeight="1" thickBot="1">
      <c r="A68" s="537"/>
      <c r="B68" s="538"/>
      <c r="C68" s="508" t="s">
        <v>445</v>
      </c>
      <c r="D68" s="509"/>
      <c r="E68" s="509"/>
      <c r="F68" s="509"/>
      <c r="G68" s="509"/>
      <c r="H68" s="509"/>
      <c r="I68" s="509"/>
      <c r="J68" s="509"/>
      <c r="K68" s="509"/>
      <c r="L68" s="509"/>
      <c r="M68" s="509"/>
      <c r="N68" s="509"/>
      <c r="O68" s="509"/>
      <c r="P68" s="509"/>
      <c r="Q68" s="509"/>
      <c r="R68" s="509"/>
      <c r="S68" s="543"/>
      <c r="T68" s="544"/>
    </row>
    <row r="69" spans="1:20" ht="16.5" thickBot="1">
      <c r="A69" s="466" t="s">
        <v>314</v>
      </c>
      <c r="B69" s="467"/>
      <c r="C69" s="468">
        <f>+C70+C73+C80</f>
        <v>1716523552</v>
      </c>
      <c r="D69" s="469"/>
      <c r="E69" s="469"/>
      <c r="F69" s="470"/>
      <c r="G69" s="468">
        <f>+G70+G73+G80</f>
        <v>2562021877</v>
      </c>
      <c r="H69" s="469"/>
      <c r="I69" s="469"/>
      <c r="J69" s="470"/>
      <c r="K69" s="468">
        <f>+K70+K73+K80</f>
        <v>2554124267</v>
      </c>
      <c r="L69" s="469"/>
      <c r="M69" s="469"/>
      <c r="N69" s="470"/>
      <c r="O69" s="468">
        <f>+O70+O73+O80</f>
        <v>2458225028</v>
      </c>
      <c r="P69" s="469"/>
      <c r="Q69" s="469"/>
      <c r="R69" s="470"/>
      <c r="S69" s="832">
        <f>SUM(C69:R69)</f>
        <v>9290894724</v>
      </c>
      <c r="T69" s="833"/>
    </row>
    <row r="70" spans="1:20" ht="27" customHeight="1" thickBot="1">
      <c r="A70" s="510" t="s">
        <v>223</v>
      </c>
      <c r="B70" s="807"/>
      <c r="C70" s="808">
        <f>SUM(C71:F72)</f>
        <v>1314990663</v>
      </c>
      <c r="D70" s="809"/>
      <c r="E70" s="809"/>
      <c r="F70" s="810"/>
      <c r="G70" s="808">
        <f>SUM(G71:J72)</f>
        <v>1345490336</v>
      </c>
      <c r="H70" s="809"/>
      <c r="I70" s="809"/>
      <c r="J70" s="810"/>
      <c r="K70" s="808">
        <f>SUM(K71:N72)</f>
        <v>1392582498</v>
      </c>
      <c r="L70" s="809"/>
      <c r="M70" s="809"/>
      <c r="N70" s="810"/>
      <c r="O70" s="808">
        <f>SUM(O71:R72)</f>
        <v>1441322886</v>
      </c>
      <c r="P70" s="809"/>
      <c r="Q70" s="809"/>
      <c r="R70" s="810"/>
      <c r="S70" s="523">
        <f>SUM(S71:S72)</f>
        <v>5494386383</v>
      </c>
      <c r="T70" s="524"/>
    </row>
    <row r="71" spans="1:20" ht="21.75" customHeight="1">
      <c r="A71" s="461" t="s">
        <v>375</v>
      </c>
      <c r="B71" s="53" t="s">
        <v>446</v>
      </c>
      <c r="C71" s="388">
        <v>15000000</v>
      </c>
      <c r="D71" s="389"/>
      <c r="E71" s="389"/>
      <c r="F71" s="390"/>
      <c r="G71" s="388"/>
      <c r="H71" s="389"/>
      <c r="I71" s="389"/>
      <c r="J71" s="391"/>
      <c r="K71" s="388"/>
      <c r="L71" s="389"/>
      <c r="M71" s="389"/>
      <c r="N71" s="391"/>
      <c r="O71" s="388"/>
      <c r="P71" s="389"/>
      <c r="Q71" s="389"/>
      <c r="R71" s="391"/>
      <c r="S71" s="28">
        <f>SUM(C71:R71)</f>
        <v>15000000</v>
      </c>
      <c r="T71" s="848" t="s">
        <v>388</v>
      </c>
    </row>
    <row r="72" spans="1:20" ht="22.5" customHeight="1" thickBot="1">
      <c r="A72" s="462"/>
      <c r="B72" s="363" t="s">
        <v>356</v>
      </c>
      <c r="C72" s="57">
        <v>259812626</v>
      </c>
      <c r="D72" s="186">
        <v>1013639811</v>
      </c>
      <c r="E72" s="186"/>
      <c r="F72" s="364">
        <v>26538226</v>
      </c>
      <c r="G72" s="185">
        <v>268906068</v>
      </c>
      <c r="H72" s="186">
        <v>1049117204</v>
      </c>
      <c r="I72" s="186"/>
      <c r="J72" s="187">
        <v>27467064</v>
      </c>
      <c r="K72" s="185">
        <v>278317780</v>
      </c>
      <c r="L72" s="186">
        <v>1085836307</v>
      </c>
      <c r="M72" s="186"/>
      <c r="N72" s="187">
        <v>28428411</v>
      </c>
      <c r="O72" s="185">
        <v>288058903</v>
      </c>
      <c r="P72" s="186">
        <v>1123840577</v>
      </c>
      <c r="Q72" s="186"/>
      <c r="R72" s="187">
        <v>29423406</v>
      </c>
      <c r="S72" s="28">
        <f>SUM(C72:R72)</f>
        <v>5479386383</v>
      </c>
      <c r="T72" s="849"/>
    </row>
    <row r="73" spans="1:20" ht="27" customHeight="1" thickBot="1">
      <c r="A73" s="510" t="s">
        <v>218</v>
      </c>
      <c r="B73" s="511"/>
      <c r="C73" s="456">
        <f>SUM(C74:F79)</f>
        <v>168000000</v>
      </c>
      <c r="D73" s="457"/>
      <c r="E73" s="457"/>
      <c r="F73" s="458"/>
      <c r="G73" s="457">
        <f>SUM(G74:J79)</f>
        <v>1000700000</v>
      </c>
      <c r="H73" s="457"/>
      <c r="I73" s="457"/>
      <c r="J73" s="458"/>
      <c r="K73" s="457">
        <f>SUM(K74:N79)</f>
        <v>938156125</v>
      </c>
      <c r="L73" s="457"/>
      <c r="M73" s="457"/>
      <c r="N73" s="458"/>
      <c r="O73" s="457">
        <f>SUM(O74:R79)</f>
        <v>785698000</v>
      </c>
      <c r="P73" s="457"/>
      <c r="Q73" s="457"/>
      <c r="R73" s="457"/>
      <c r="S73" s="523">
        <f>SUM(S74:S79)</f>
        <v>2892554125</v>
      </c>
      <c r="T73" s="524"/>
    </row>
    <row r="74" spans="1:20" ht="38.25" customHeight="1">
      <c r="A74" s="805" t="s">
        <v>375</v>
      </c>
      <c r="B74" s="58" t="s">
        <v>447</v>
      </c>
      <c r="C74" s="38"/>
      <c r="D74" s="11"/>
      <c r="E74" s="11"/>
      <c r="F74" s="12"/>
      <c r="G74" s="10">
        <v>50000000</v>
      </c>
      <c r="H74" s="11"/>
      <c r="I74" s="11"/>
      <c r="J74" s="12"/>
      <c r="K74" s="10">
        <v>51750000</v>
      </c>
      <c r="L74" s="11"/>
      <c r="M74" s="11"/>
      <c r="N74" s="12"/>
      <c r="O74" s="10">
        <v>53561250</v>
      </c>
      <c r="P74" s="11"/>
      <c r="Q74" s="11"/>
      <c r="R74" s="15"/>
      <c r="S74" s="294">
        <f>SUM(C74:R74)</f>
        <v>155311250</v>
      </c>
      <c r="T74" s="435" t="s">
        <v>388</v>
      </c>
    </row>
    <row r="75" spans="1:20" ht="38.25" customHeight="1">
      <c r="A75" s="806"/>
      <c r="B75" s="365" t="s">
        <v>448</v>
      </c>
      <c r="C75" s="38"/>
      <c r="D75" s="11"/>
      <c r="E75" s="11"/>
      <c r="F75" s="12"/>
      <c r="G75" s="38">
        <v>20700000</v>
      </c>
      <c r="H75" s="11"/>
      <c r="I75" s="11"/>
      <c r="J75" s="12"/>
      <c r="K75" s="10"/>
      <c r="L75" s="11"/>
      <c r="M75" s="11"/>
      <c r="N75" s="12"/>
      <c r="O75" s="10"/>
      <c r="P75" s="11"/>
      <c r="Q75" s="11"/>
      <c r="R75" s="15"/>
      <c r="S75" s="294">
        <f>SUM(C75:R75)</f>
        <v>20700000</v>
      </c>
      <c r="T75" s="436"/>
    </row>
    <row r="76" spans="1:20" ht="38.25" customHeight="1">
      <c r="A76" s="806"/>
      <c r="B76" s="54" t="s">
        <v>449</v>
      </c>
      <c r="C76" s="38">
        <v>5000000</v>
      </c>
      <c r="D76" s="11"/>
      <c r="E76" s="11"/>
      <c r="F76" s="12"/>
      <c r="G76" s="10"/>
      <c r="H76" s="11"/>
      <c r="I76" s="11"/>
      <c r="J76" s="12"/>
      <c r="K76" s="10"/>
      <c r="L76" s="11"/>
      <c r="M76" s="11"/>
      <c r="N76" s="12"/>
      <c r="O76" s="10"/>
      <c r="P76" s="11"/>
      <c r="Q76" s="11"/>
      <c r="R76" s="15"/>
      <c r="S76" s="294">
        <f>SUM(C76:R76)</f>
        <v>5000000</v>
      </c>
      <c r="T76" s="436"/>
    </row>
    <row r="77" spans="1:20" ht="38.25">
      <c r="A77" s="806"/>
      <c r="B77" s="54" t="s">
        <v>450</v>
      </c>
      <c r="C77" s="38">
        <v>130000000</v>
      </c>
      <c r="D77" s="11"/>
      <c r="E77" s="11"/>
      <c r="F77" s="12"/>
      <c r="G77" s="38">
        <v>620000000</v>
      </c>
      <c r="H77" s="11"/>
      <c r="I77" s="11">
        <v>280000000</v>
      </c>
      <c r="J77" s="12"/>
      <c r="K77" s="10">
        <v>650000000</v>
      </c>
      <c r="L77" s="11"/>
      <c r="M77" s="11">
        <v>200000000</v>
      </c>
      <c r="N77" s="12"/>
      <c r="O77" s="10">
        <v>350000000</v>
      </c>
      <c r="P77" s="11"/>
      <c r="Q77" s="11">
        <v>150000000</v>
      </c>
      <c r="R77" s="15">
        <v>200000000</v>
      </c>
      <c r="S77" s="294">
        <f>SUM(C77:R77)</f>
        <v>2580000000</v>
      </c>
      <c r="T77" s="436"/>
    </row>
    <row r="78" spans="1:20" ht="15">
      <c r="A78" s="806"/>
      <c r="B78" s="365" t="s">
        <v>155</v>
      </c>
      <c r="C78" s="38">
        <v>28000000</v>
      </c>
      <c r="D78" s="11"/>
      <c r="E78" s="11"/>
      <c r="F78" s="12"/>
      <c r="G78" s="10">
        <v>30000000</v>
      </c>
      <c r="H78" s="11"/>
      <c r="I78" s="11"/>
      <c r="J78" s="12"/>
      <c r="K78" s="10">
        <v>31050000</v>
      </c>
      <c r="L78" s="11"/>
      <c r="M78" s="11"/>
      <c r="N78" s="12"/>
      <c r="O78" s="10">
        <v>32136750</v>
      </c>
      <c r="P78" s="11"/>
      <c r="Q78" s="11"/>
      <c r="R78" s="15"/>
      <c r="S78" s="294">
        <f>SUM(C78:R78)</f>
        <v>121186750</v>
      </c>
      <c r="T78" s="436"/>
    </row>
    <row r="79" spans="1:20" ht="39" thickBot="1">
      <c r="A79" s="721"/>
      <c r="B79" s="62" t="s">
        <v>357</v>
      </c>
      <c r="C79" s="38">
        <v>5000000</v>
      </c>
      <c r="D79" s="11"/>
      <c r="E79" s="11"/>
      <c r="F79" s="12"/>
      <c r="G79" s="10"/>
      <c r="H79" s="11"/>
      <c r="I79" s="11"/>
      <c r="J79" s="12"/>
      <c r="K79" s="10">
        <v>5356125</v>
      </c>
      <c r="L79" s="11"/>
      <c r="M79" s="11"/>
      <c r="N79" s="12"/>
      <c r="O79" s="10"/>
      <c r="P79" s="11"/>
      <c r="Q79" s="11"/>
      <c r="R79" s="15"/>
      <c r="S79" s="294">
        <f>SUM(C79:R79)</f>
        <v>10356125</v>
      </c>
      <c r="T79" s="437"/>
    </row>
    <row r="80" spans="1:20" ht="27" customHeight="1" thickBot="1">
      <c r="A80" s="510" t="s">
        <v>224</v>
      </c>
      <c r="B80" s="511"/>
      <c r="C80" s="456">
        <f>SUM(C81:F86)</f>
        <v>233532889</v>
      </c>
      <c r="D80" s="457"/>
      <c r="E80" s="457"/>
      <c r="F80" s="458"/>
      <c r="G80" s="457">
        <f>SUM(G81:J86)</f>
        <v>215831541</v>
      </c>
      <c r="H80" s="457"/>
      <c r="I80" s="457"/>
      <c r="J80" s="458"/>
      <c r="K80" s="457">
        <f>SUM(K81:N86)</f>
        <v>223385644</v>
      </c>
      <c r="L80" s="457"/>
      <c r="M80" s="457"/>
      <c r="N80" s="458"/>
      <c r="O80" s="457">
        <f>SUM(O81:R86)</f>
        <v>231204142</v>
      </c>
      <c r="P80" s="457"/>
      <c r="Q80" s="457"/>
      <c r="R80" s="457"/>
      <c r="S80" s="523">
        <f>SUM(S81:S86)</f>
        <v>903954216</v>
      </c>
      <c r="T80" s="524"/>
    </row>
    <row r="81" spans="1:20" ht="38.25" customHeight="1">
      <c r="A81" s="461" t="s">
        <v>375</v>
      </c>
      <c r="B81" s="35" t="s">
        <v>15</v>
      </c>
      <c r="C81" s="39">
        <v>78259481</v>
      </c>
      <c r="D81" s="11">
        <v>75555536</v>
      </c>
      <c r="E81" s="11"/>
      <c r="F81" s="12"/>
      <c r="G81" s="10">
        <v>80998563</v>
      </c>
      <c r="H81" s="11">
        <v>78199980</v>
      </c>
      <c r="I81" s="11"/>
      <c r="J81" s="12"/>
      <c r="K81" s="10">
        <v>83833513</v>
      </c>
      <c r="L81" s="11">
        <v>80936979</v>
      </c>
      <c r="M81" s="11"/>
      <c r="N81" s="12"/>
      <c r="O81" s="10">
        <v>86767685</v>
      </c>
      <c r="P81" s="11">
        <v>83769773</v>
      </c>
      <c r="Q81" s="11"/>
      <c r="R81" s="15"/>
      <c r="S81" s="294">
        <f aca="true" t="shared" si="4" ref="S81:S86">SUM(C81:R81)</f>
        <v>648321510</v>
      </c>
      <c r="T81" s="435" t="s">
        <v>388</v>
      </c>
    </row>
    <row r="82" spans="1:20" ht="51">
      <c r="A82" s="554"/>
      <c r="B82" s="31" t="s">
        <v>16</v>
      </c>
      <c r="C82" s="39">
        <v>10000000</v>
      </c>
      <c r="D82" s="11"/>
      <c r="E82" s="11"/>
      <c r="F82" s="12"/>
      <c r="G82" s="10">
        <v>10350000</v>
      </c>
      <c r="H82" s="11"/>
      <c r="I82" s="11"/>
      <c r="J82" s="12"/>
      <c r="K82" s="10">
        <v>10712250</v>
      </c>
      <c r="L82" s="11"/>
      <c r="M82" s="11"/>
      <c r="N82" s="12"/>
      <c r="O82" s="10">
        <v>11087179</v>
      </c>
      <c r="P82" s="11"/>
      <c r="Q82" s="11"/>
      <c r="R82" s="15"/>
      <c r="S82" s="294">
        <f t="shared" si="4"/>
        <v>42149429</v>
      </c>
      <c r="T82" s="436"/>
    </row>
    <row r="83" spans="1:20" ht="51">
      <c r="A83" s="554"/>
      <c r="B83" s="31" t="s">
        <v>17</v>
      </c>
      <c r="C83" s="39">
        <v>10000000</v>
      </c>
      <c r="D83" s="11"/>
      <c r="E83" s="11"/>
      <c r="F83" s="12"/>
      <c r="G83" s="10">
        <v>10350000</v>
      </c>
      <c r="H83" s="11"/>
      <c r="I83" s="11"/>
      <c r="J83" s="12"/>
      <c r="K83" s="10">
        <v>10712250</v>
      </c>
      <c r="L83" s="11"/>
      <c r="M83" s="11"/>
      <c r="N83" s="12"/>
      <c r="O83" s="10">
        <v>11087179</v>
      </c>
      <c r="P83" s="11"/>
      <c r="Q83" s="11"/>
      <c r="R83" s="15"/>
      <c r="S83" s="294">
        <f t="shared" si="4"/>
        <v>42149429</v>
      </c>
      <c r="T83" s="436"/>
    </row>
    <row r="84" spans="1:20" ht="38.25">
      <c r="A84" s="554"/>
      <c r="B84" s="31" t="s">
        <v>451</v>
      </c>
      <c r="C84" s="39">
        <v>10000000</v>
      </c>
      <c r="D84" s="11"/>
      <c r="E84" s="11"/>
      <c r="F84" s="12"/>
      <c r="G84" s="10">
        <v>10350000</v>
      </c>
      <c r="H84" s="11"/>
      <c r="I84" s="11"/>
      <c r="J84" s="12"/>
      <c r="K84" s="10">
        <v>10712250</v>
      </c>
      <c r="L84" s="11"/>
      <c r="M84" s="11"/>
      <c r="N84" s="12"/>
      <c r="O84" s="10">
        <v>11087179</v>
      </c>
      <c r="P84" s="11"/>
      <c r="Q84" s="11"/>
      <c r="R84" s="15"/>
      <c r="S84" s="294">
        <f t="shared" si="4"/>
        <v>42149429</v>
      </c>
      <c r="T84" s="436"/>
    </row>
    <row r="85" spans="1:20" ht="38.25">
      <c r="A85" s="554"/>
      <c r="B85" s="31" t="s">
        <v>39</v>
      </c>
      <c r="C85" s="39">
        <v>17000000</v>
      </c>
      <c r="D85" s="11">
        <v>7717872</v>
      </c>
      <c r="E85" s="11"/>
      <c r="F85" s="12"/>
      <c r="G85" s="10">
        <v>17595000</v>
      </c>
      <c r="H85" s="11">
        <v>7987998</v>
      </c>
      <c r="I85" s="11"/>
      <c r="J85" s="12"/>
      <c r="K85" s="10">
        <v>18210825</v>
      </c>
      <c r="L85" s="11">
        <v>8267577</v>
      </c>
      <c r="M85" s="11"/>
      <c r="N85" s="12"/>
      <c r="O85" s="10">
        <v>18848204</v>
      </c>
      <c r="P85" s="11">
        <v>8556943</v>
      </c>
      <c r="Q85" s="11"/>
      <c r="R85" s="15"/>
      <c r="S85" s="294">
        <f t="shared" si="4"/>
        <v>104184419</v>
      </c>
      <c r="T85" s="436"/>
    </row>
    <row r="86" spans="1:20" ht="30" customHeight="1" thickBot="1">
      <c r="A86" s="462"/>
      <c r="B86" s="32" t="s">
        <v>80</v>
      </c>
      <c r="C86" s="51">
        <v>25000000</v>
      </c>
      <c r="D86" s="13"/>
      <c r="E86" s="13"/>
      <c r="F86" s="14"/>
      <c r="G86" s="43"/>
      <c r="H86" s="13"/>
      <c r="I86" s="13"/>
      <c r="J86" s="14"/>
      <c r="K86" s="43"/>
      <c r="L86" s="13"/>
      <c r="M86" s="13"/>
      <c r="N86" s="14"/>
      <c r="O86" s="43"/>
      <c r="P86" s="13"/>
      <c r="Q86" s="13"/>
      <c r="R86" s="44"/>
      <c r="S86" s="294">
        <f t="shared" si="4"/>
        <v>25000000</v>
      </c>
      <c r="T86" s="437"/>
    </row>
    <row r="87" spans="1:20" ht="16.5" thickBot="1">
      <c r="A87" s="564" t="s">
        <v>280</v>
      </c>
      <c r="B87" s="565"/>
      <c r="C87" s="226">
        <f>+C71+C72+C74+C75+C76+C77+C78+C79+C81+C82+C83+C84+C85+C86</f>
        <v>593072107</v>
      </c>
      <c r="D87" s="227">
        <f aca="true" t="shared" si="5" ref="D87:R87">+D71+D72+D74+D75+D76+D77+D78+D79+D81+D82+D83+D84+D85+D86</f>
        <v>1096913219</v>
      </c>
      <c r="E87" s="227">
        <f t="shared" si="5"/>
        <v>0</v>
      </c>
      <c r="F87" s="228">
        <f t="shared" si="5"/>
        <v>26538226</v>
      </c>
      <c r="G87" s="226">
        <f t="shared" si="5"/>
        <v>1119249631</v>
      </c>
      <c r="H87" s="227">
        <f t="shared" si="5"/>
        <v>1135305182</v>
      </c>
      <c r="I87" s="227">
        <f t="shared" si="5"/>
        <v>280000000</v>
      </c>
      <c r="J87" s="228">
        <f t="shared" si="5"/>
        <v>27467064</v>
      </c>
      <c r="K87" s="226">
        <f t="shared" si="5"/>
        <v>1150654993</v>
      </c>
      <c r="L87" s="227">
        <f t="shared" si="5"/>
        <v>1175040863</v>
      </c>
      <c r="M87" s="227">
        <f t="shared" si="5"/>
        <v>200000000</v>
      </c>
      <c r="N87" s="228">
        <f t="shared" si="5"/>
        <v>28428411</v>
      </c>
      <c r="O87" s="226">
        <f t="shared" si="5"/>
        <v>862634329</v>
      </c>
      <c r="P87" s="227">
        <f t="shared" si="5"/>
        <v>1216167293</v>
      </c>
      <c r="Q87" s="227">
        <f t="shared" si="5"/>
        <v>150000000</v>
      </c>
      <c r="R87" s="228">
        <f t="shared" si="5"/>
        <v>229423406</v>
      </c>
      <c r="S87" s="662">
        <f>+S70+S73+S80</f>
        <v>9290894724</v>
      </c>
      <c r="T87" s="540"/>
    </row>
    <row r="88" spans="1:20" ht="21" customHeight="1" thickBot="1">
      <c r="A88" s="568"/>
      <c r="B88" s="569"/>
      <c r="C88" s="476">
        <v>2012</v>
      </c>
      <c r="D88" s="477"/>
      <c r="E88" s="477"/>
      <c r="F88" s="478"/>
      <c r="G88" s="476">
        <v>2013</v>
      </c>
      <c r="H88" s="477"/>
      <c r="I88" s="477"/>
      <c r="J88" s="478"/>
      <c r="K88" s="476">
        <v>2014</v>
      </c>
      <c r="L88" s="477"/>
      <c r="M88" s="477"/>
      <c r="N88" s="478"/>
      <c r="O88" s="476">
        <v>2015</v>
      </c>
      <c r="P88" s="477"/>
      <c r="Q88" s="477"/>
      <c r="R88" s="478"/>
      <c r="S88" s="691" t="s">
        <v>386</v>
      </c>
      <c r="T88" s="693" t="s">
        <v>403</v>
      </c>
    </row>
    <row r="89" spans="1:20" ht="26.25" customHeight="1" thickBot="1">
      <c r="A89" s="247" t="s">
        <v>0</v>
      </c>
      <c r="B89" s="248" t="s">
        <v>284</v>
      </c>
      <c r="C89" s="427" t="s">
        <v>1</v>
      </c>
      <c r="D89" s="428" t="s">
        <v>2</v>
      </c>
      <c r="E89" s="428" t="s">
        <v>3</v>
      </c>
      <c r="F89" s="429" t="s">
        <v>4</v>
      </c>
      <c r="G89" s="427" t="s">
        <v>1</v>
      </c>
      <c r="H89" s="428" t="s">
        <v>2</v>
      </c>
      <c r="I89" s="428" t="s">
        <v>3</v>
      </c>
      <c r="J89" s="429" t="s">
        <v>4</v>
      </c>
      <c r="K89" s="427" t="s">
        <v>1</v>
      </c>
      <c r="L89" s="428" t="s">
        <v>2</v>
      </c>
      <c r="M89" s="428" t="s">
        <v>3</v>
      </c>
      <c r="N89" s="429" t="s">
        <v>4</v>
      </c>
      <c r="O89" s="427" t="s">
        <v>1</v>
      </c>
      <c r="P89" s="428" t="s">
        <v>2</v>
      </c>
      <c r="Q89" s="428" t="s">
        <v>3</v>
      </c>
      <c r="R89" s="431" t="s">
        <v>4</v>
      </c>
      <c r="S89" s="692"/>
      <c r="T89" s="694"/>
    </row>
    <row r="90" spans="1:20" ht="12.75" customHeight="1">
      <c r="A90" s="547" t="s">
        <v>225</v>
      </c>
      <c r="B90" s="548"/>
      <c r="C90" s="505" t="s">
        <v>5</v>
      </c>
      <c r="D90" s="506"/>
      <c r="E90" s="506"/>
      <c r="F90" s="506"/>
      <c r="G90" s="506"/>
      <c r="H90" s="506"/>
      <c r="I90" s="506"/>
      <c r="J90" s="506"/>
      <c r="K90" s="506"/>
      <c r="L90" s="506"/>
      <c r="M90" s="506"/>
      <c r="N90" s="506"/>
      <c r="O90" s="506"/>
      <c r="P90" s="506"/>
      <c r="Q90" s="506"/>
      <c r="R90" s="506"/>
      <c r="S90" s="301"/>
      <c r="T90" s="302"/>
    </row>
    <row r="91" spans="1:20" ht="12.75" customHeight="1">
      <c r="A91" s="549"/>
      <c r="B91" s="550"/>
      <c r="C91" s="508" t="s">
        <v>40</v>
      </c>
      <c r="D91" s="509"/>
      <c r="E91" s="509"/>
      <c r="F91" s="509"/>
      <c r="G91" s="509"/>
      <c r="H91" s="509"/>
      <c r="I91" s="509"/>
      <c r="J91" s="509"/>
      <c r="K91" s="509"/>
      <c r="L91" s="509"/>
      <c r="M91" s="509"/>
      <c r="N91" s="509"/>
      <c r="O91" s="509"/>
      <c r="P91" s="509"/>
      <c r="Q91" s="509"/>
      <c r="R91" s="509"/>
      <c r="S91" s="301"/>
      <c r="T91" s="302"/>
    </row>
    <row r="92" spans="1:20" ht="12.75" customHeight="1">
      <c r="A92" s="549"/>
      <c r="B92" s="550"/>
      <c r="C92" s="508" t="s">
        <v>43</v>
      </c>
      <c r="D92" s="509"/>
      <c r="E92" s="509"/>
      <c r="F92" s="509"/>
      <c r="G92" s="509"/>
      <c r="H92" s="509"/>
      <c r="I92" s="509"/>
      <c r="J92" s="509"/>
      <c r="K92" s="509"/>
      <c r="L92" s="509"/>
      <c r="M92" s="509"/>
      <c r="N92" s="509"/>
      <c r="O92" s="509"/>
      <c r="P92" s="509"/>
      <c r="Q92" s="509"/>
      <c r="R92" s="509"/>
      <c r="S92" s="301"/>
      <c r="T92" s="302"/>
    </row>
    <row r="93" spans="1:20" ht="12.75" customHeight="1">
      <c r="A93" s="549"/>
      <c r="B93" s="550"/>
      <c r="C93" s="508" t="s">
        <v>41</v>
      </c>
      <c r="D93" s="509"/>
      <c r="E93" s="509"/>
      <c r="F93" s="509"/>
      <c r="G93" s="509"/>
      <c r="H93" s="509"/>
      <c r="I93" s="509"/>
      <c r="J93" s="509"/>
      <c r="K93" s="509"/>
      <c r="L93" s="509"/>
      <c r="M93" s="509"/>
      <c r="N93" s="509"/>
      <c r="O93" s="509"/>
      <c r="P93" s="509"/>
      <c r="Q93" s="509"/>
      <c r="R93" s="509"/>
      <c r="S93" s="301"/>
      <c r="T93" s="302"/>
    </row>
    <row r="94" spans="1:20" ht="12.75" customHeight="1">
      <c r="A94" s="549"/>
      <c r="B94" s="550"/>
      <c r="C94" s="508" t="s">
        <v>42</v>
      </c>
      <c r="D94" s="509"/>
      <c r="E94" s="509"/>
      <c r="F94" s="509"/>
      <c r="G94" s="509"/>
      <c r="H94" s="509"/>
      <c r="I94" s="509"/>
      <c r="J94" s="509"/>
      <c r="K94" s="509"/>
      <c r="L94" s="509"/>
      <c r="M94" s="509"/>
      <c r="N94" s="509"/>
      <c r="O94" s="509"/>
      <c r="P94" s="509"/>
      <c r="Q94" s="509"/>
      <c r="R94" s="509"/>
      <c r="S94" s="301"/>
      <c r="T94" s="302"/>
    </row>
    <row r="95" spans="1:20" ht="12.75" customHeight="1">
      <c r="A95" s="549"/>
      <c r="B95" s="550"/>
      <c r="C95" s="508" t="s">
        <v>123</v>
      </c>
      <c r="D95" s="509"/>
      <c r="E95" s="509"/>
      <c r="F95" s="509"/>
      <c r="G95" s="509"/>
      <c r="H95" s="509"/>
      <c r="I95" s="509"/>
      <c r="J95" s="509"/>
      <c r="K95" s="509"/>
      <c r="L95" s="509"/>
      <c r="M95" s="509"/>
      <c r="N95" s="509"/>
      <c r="O95" s="509"/>
      <c r="P95" s="509"/>
      <c r="Q95" s="509"/>
      <c r="R95" s="509"/>
      <c r="S95" s="301"/>
      <c r="T95" s="302"/>
    </row>
    <row r="96" spans="1:20" ht="12.75" customHeight="1">
      <c r="A96" s="549"/>
      <c r="B96" s="550"/>
      <c r="C96" s="508" t="s">
        <v>124</v>
      </c>
      <c r="D96" s="509"/>
      <c r="E96" s="509"/>
      <c r="F96" s="509"/>
      <c r="G96" s="509"/>
      <c r="H96" s="509"/>
      <c r="I96" s="509"/>
      <c r="J96" s="509"/>
      <c r="K96" s="509"/>
      <c r="L96" s="509"/>
      <c r="M96" s="509"/>
      <c r="N96" s="509"/>
      <c r="O96" s="509"/>
      <c r="P96" s="509"/>
      <c r="Q96" s="509"/>
      <c r="R96" s="509"/>
      <c r="S96" s="301"/>
      <c r="T96" s="302"/>
    </row>
    <row r="97" spans="1:20" ht="12.75" customHeight="1">
      <c r="A97" s="549"/>
      <c r="B97" s="550"/>
      <c r="C97" s="508" t="s">
        <v>125</v>
      </c>
      <c r="D97" s="509"/>
      <c r="E97" s="509"/>
      <c r="F97" s="509"/>
      <c r="G97" s="509"/>
      <c r="H97" s="509"/>
      <c r="I97" s="509"/>
      <c r="J97" s="509"/>
      <c r="K97" s="509"/>
      <c r="L97" s="509"/>
      <c r="M97" s="509"/>
      <c r="N97" s="509"/>
      <c r="O97" s="509"/>
      <c r="P97" s="509"/>
      <c r="Q97" s="509"/>
      <c r="R97" s="509"/>
      <c r="S97" s="301"/>
      <c r="T97" s="302"/>
    </row>
    <row r="98" spans="1:20" ht="12.75" customHeight="1">
      <c r="A98" s="549"/>
      <c r="B98" s="550"/>
      <c r="C98" s="508" t="s">
        <v>44</v>
      </c>
      <c r="D98" s="509"/>
      <c r="E98" s="509"/>
      <c r="F98" s="509"/>
      <c r="G98" s="509"/>
      <c r="H98" s="509"/>
      <c r="I98" s="509"/>
      <c r="J98" s="509"/>
      <c r="K98" s="509"/>
      <c r="L98" s="509"/>
      <c r="M98" s="509"/>
      <c r="N98" s="509"/>
      <c r="O98" s="509"/>
      <c r="P98" s="509"/>
      <c r="Q98" s="509"/>
      <c r="R98" s="509"/>
      <c r="S98" s="301"/>
      <c r="T98" s="302"/>
    </row>
    <row r="99" spans="1:20" ht="12.75" customHeight="1" thickBot="1">
      <c r="A99" s="551"/>
      <c r="B99" s="552"/>
      <c r="C99" s="545" t="s">
        <v>206</v>
      </c>
      <c r="D99" s="546"/>
      <c r="E99" s="546"/>
      <c r="F99" s="546"/>
      <c r="G99" s="546"/>
      <c r="H99" s="546"/>
      <c r="I99" s="546"/>
      <c r="J99" s="546"/>
      <c r="K99" s="546"/>
      <c r="L99" s="546"/>
      <c r="M99" s="546"/>
      <c r="N99" s="546"/>
      <c r="O99" s="546"/>
      <c r="P99" s="546"/>
      <c r="Q99" s="546"/>
      <c r="R99" s="546"/>
      <c r="S99" s="303"/>
      <c r="T99" s="304"/>
    </row>
    <row r="100" spans="1:20" ht="16.5" thickBot="1">
      <c r="A100" s="466" t="s">
        <v>315</v>
      </c>
      <c r="B100" s="467"/>
      <c r="C100" s="468">
        <f>+C101+C108+C121+C124</f>
        <v>355724399</v>
      </c>
      <c r="D100" s="469"/>
      <c r="E100" s="469"/>
      <c r="F100" s="469"/>
      <c r="G100" s="468">
        <f>+G101+G108+G121+G124</f>
        <v>778324753</v>
      </c>
      <c r="H100" s="469"/>
      <c r="I100" s="469"/>
      <c r="J100" s="469"/>
      <c r="K100" s="468">
        <f>+K101+K108+K121+K124</f>
        <v>495066102</v>
      </c>
      <c r="L100" s="469"/>
      <c r="M100" s="469"/>
      <c r="N100" s="469"/>
      <c r="O100" s="468">
        <f>+O101+O108+O121+O124</f>
        <v>512393436</v>
      </c>
      <c r="P100" s="469"/>
      <c r="Q100" s="469"/>
      <c r="R100" s="469"/>
      <c r="S100" s="583">
        <f>SUM(C100:R100)</f>
        <v>2141508690</v>
      </c>
      <c r="T100" s="584"/>
    </row>
    <row r="101" spans="1:20" ht="27" customHeight="1" thickBot="1">
      <c r="A101" s="510" t="s">
        <v>219</v>
      </c>
      <c r="B101" s="511"/>
      <c r="C101" s="512">
        <f>SUM(C102:F107)</f>
        <v>108500000</v>
      </c>
      <c r="D101" s="513"/>
      <c r="E101" s="513"/>
      <c r="F101" s="513"/>
      <c r="G101" s="512">
        <f>SUM(G102:J107)</f>
        <v>112297500</v>
      </c>
      <c r="H101" s="513"/>
      <c r="I101" s="513"/>
      <c r="J101" s="513"/>
      <c r="K101" s="512">
        <f>SUM(K102:N107)</f>
        <v>116227913</v>
      </c>
      <c r="L101" s="513"/>
      <c r="M101" s="513"/>
      <c r="N101" s="513"/>
      <c r="O101" s="512">
        <f>SUM(O102:R107)</f>
        <v>120295890</v>
      </c>
      <c r="P101" s="513"/>
      <c r="Q101" s="513"/>
      <c r="R101" s="513"/>
      <c r="S101" s="523">
        <f>SUM(S102:S107)</f>
        <v>457321303</v>
      </c>
      <c r="T101" s="524"/>
    </row>
    <row r="102" spans="1:20" ht="38.25">
      <c r="A102" s="438" t="s">
        <v>376</v>
      </c>
      <c r="B102" s="35" t="s">
        <v>45</v>
      </c>
      <c r="C102" s="39">
        <v>25500000</v>
      </c>
      <c r="D102" s="11"/>
      <c r="E102" s="11"/>
      <c r="F102" s="15"/>
      <c r="G102" s="16">
        <v>26392500</v>
      </c>
      <c r="H102" s="11"/>
      <c r="I102" s="11"/>
      <c r="J102" s="15"/>
      <c r="K102" s="16">
        <v>27316238</v>
      </c>
      <c r="L102" s="11"/>
      <c r="M102" s="11"/>
      <c r="N102" s="15"/>
      <c r="O102" s="16">
        <v>28272306</v>
      </c>
      <c r="P102" s="11"/>
      <c r="Q102" s="11"/>
      <c r="R102" s="15"/>
      <c r="S102" s="294">
        <f aca="true" t="shared" si="6" ref="S102:S107">SUM(C102:R102)</f>
        <v>107481044</v>
      </c>
      <c r="T102" s="436" t="s">
        <v>388</v>
      </c>
    </row>
    <row r="103" spans="1:20" ht="63.75">
      <c r="A103" s="439"/>
      <c r="B103" s="31" t="s">
        <v>46</v>
      </c>
      <c r="C103" s="39">
        <v>30000000</v>
      </c>
      <c r="D103" s="11"/>
      <c r="E103" s="11"/>
      <c r="F103" s="15"/>
      <c r="G103" s="16">
        <v>31050000</v>
      </c>
      <c r="H103" s="11"/>
      <c r="I103" s="11"/>
      <c r="J103" s="15"/>
      <c r="K103" s="16">
        <v>32136750</v>
      </c>
      <c r="L103" s="11"/>
      <c r="M103" s="11"/>
      <c r="N103" s="15"/>
      <c r="O103" s="16">
        <v>33261536</v>
      </c>
      <c r="P103" s="11"/>
      <c r="Q103" s="11"/>
      <c r="R103" s="15"/>
      <c r="S103" s="294">
        <f t="shared" si="6"/>
        <v>126448286</v>
      </c>
      <c r="T103" s="436"/>
    </row>
    <row r="104" spans="1:20" ht="42.75" customHeight="1">
      <c r="A104" s="439"/>
      <c r="B104" s="31" t="s">
        <v>152</v>
      </c>
      <c r="C104" s="39">
        <v>14000000</v>
      </c>
      <c r="D104" s="11"/>
      <c r="E104" s="11">
        <v>4000000</v>
      </c>
      <c r="F104" s="15"/>
      <c r="G104" s="16">
        <v>14490000</v>
      </c>
      <c r="H104" s="11"/>
      <c r="I104" s="11">
        <v>4140000</v>
      </c>
      <c r="J104" s="15"/>
      <c r="K104" s="16">
        <v>14997150</v>
      </c>
      <c r="L104" s="11"/>
      <c r="M104" s="11">
        <v>4284900</v>
      </c>
      <c r="N104" s="15"/>
      <c r="O104" s="16">
        <v>15522050</v>
      </c>
      <c r="P104" s="11"/>
      <c r="Q104" s="11">
        <v>4434872</v>
      </c>
      <c r="R104" s="15"/>
      <c r="S104" s="294">
        <f t="shared" si="6"/>
        <v>75868972</v>
      </c>
      <c r="T104" s="436"/>
    </row>
    <row r="105" spans="1:20" ht="40.5" customHeight="1">
      <c r="A105" s="439"/>
      <c r="B105" s="31" t="s">
        <v>47</v>
      </c>
      <c r="C105" s="39">
        <v>15000000</v>
      </c>
      <c r="D105" s="11"/>
      <c r="E105" s="11"/>
      <c r="F105" s="15"/>
      <c r="G105" s="16">
        <v>15525000</v>
      </c>
      <c r="H105" s="11"/>
      <c r="I105" s="11"/>
      <c r="J105" s="15"/>
      <c r="K105" s="16">
        <v>16068375</v>
      </c>
      <c r="L105" s="11"/>
      <c r="M105" s="11"/>
      <c r="N105" s="15"/>
      <c r="O105" s="16">
        <v>16630768</v>
      </c>
      <c r="P105" s="11"/>
      <c r="Q105" s="11"/>
      <c r="R105" s="15"/>
      <c r="S105" s="294">
        <f t="shared" si="6"/>
        <v>63224143</v>
      </c>
      <c r="T105" s="436"/>
    </row>
    <row r="106" spans="1:20" ht="38.25">
      <c r="A106" s="439"/>
      <c r="B106" s="31" t="s">
        <v>48</v>
      </c>
      <c r="C106" s="39">
        <v>5000000</v>
      </c>
      <c r="D106" s="11"/>
      <c r="E106" s="11"/>
      <c r="F106" s="15"/>
      <c r="G106" s="16">
        <v>5175000</v>
      </c>
      <c r="H106" s="11"/>
      <c r="I106" s="11"/>
      <c r="J106" s="15"/>
      <c r="K106" s="16">
        <v>5356125</v>
      </c>
      <c r="L106" s="11"/>
      <c r="M106" s="11"/>
      <c r="N106" s="15"/>
      <c r="O106" s="16">
        <v>5543590</v>
      </c>
      <c r="P106" s="11"/>
      <c r="Q106" s="11"/>
      <c r="R106" s="15"/>
      <c r="S106" s="294">
        <f t="shared" si="6"/>
        <v>21074715</v>
      </c>
      <c r="T106" s="436"/>
    </row>
    <row r="107" spans="1:20" ht="27.75" customHeight="1" thickBot="1">
      <c r="A107" s="440"/>
      <c r="B107" s="32" t="s">
        <v>49</v>
      </c>
      <c r="C107" s="39">
        <v>15000000</v>
      </c>
      <c r="D107" s="11"/>
      <c r="E107" s="11"/>
      <c r="F107" s="15"/>
      <c r="G107" s="16">
        <v>15525000</v>
      </c>
      <c r="H107" s="11"/>
      <c r="I107" s="11"/>
      <c r="J107" s="15"/>
      <c r="K107" s="16">
        <v>16068375</v>
      </c>
      <c r="L107" s="11"/>
      <c r="M107" s="11"/>
      <c r="N107" s="15"/>
      <c r="O107" s="16">
        <v>16630768</v>
      </c>
      <c r="P107" s="11"/>
      <c r="Q107" s="11"/>
      <c r="R107" s="15"/>
      <c r="S107" s="294">
        <f t="shared" si="6"/>
        <v>63224143</v>
      </c>
      <c r="T107" s="436"/>
    </row>
    <row r="108" spans="1:20" ht="27" customHeight="1" thickBot="1">
      <c r="A108" s="510" t="s">
        <v>220</v>
      </c>
      <c r="B108" s="511"/>
      <c r="C108" s="456">
        <f>SUM(C109:F120)</f>
        <v>124874399</v>
      </c>
      <c r="D108" s="457"/>
      <c r="E108" s="457"/>
      <c r="F108" s="457"/>
      <c r="G108" s="456">
        <f>SUM(G109:J120)</f>
        <v>541245003</v>
      </c>
      <c r="H108" s="457"/>
      <c r="I108" s="457"/>
      <c r="J108" s="457"/>
      <c r="K108" s="456">
        <f>SUM(K109:N120)</f>
        <v>249688579</v>
      </c>
      <c r="L108" s="457"/>
      <c r="M108" s="457"/>
      <c r="N108" s="457"/>
      <c r="O108" s="456">
        <f>SUM(O109:R120)</f>
        <v>258427681</v>
      </c>
      <c r="P108" s="457"/>
      <c r="Q108" s="457"/>
      <c r="R108" s="457"/>
      <c r="S108" s="523">
        <f>SUM(S109:S120)</f>
        <v>1174235662</v>
      </c>
      <c r="T108" s="524"/>
    </row>
    <row r="109" spans="1:20" ht="31.5" customHeight="1">
      <c r="A109" s="461" t="s">
        <v>335</v>
      </c>
      <c r="B109" s="35" t="s">
        <v>50</v>
      </c>
      <c r="C109" s="162"/>
      <c r="D109" s="11"/>
      <c r="E109" s="11"/>
      <c r="F109" s="15"/>
      <c r="G109" s="16">
        <v>100000000</v>
      </c>
      <c r="H109" s="11"/>
      <c r="I109" s="11"/>
      <c r="J109" s="15"/>
      <c r="K109" s="16">
        <v>103500000</v>
      </c>
      <c r="L109" s="11"/>
      <c r="M109" s="11"/>
      <c r="N109" s="15"/>
      <c r="O109" s="16">
        <v>107122500</v>
      </c>
      <c r="P109" s="11"/>
      <c r="Q109" s="11"/>
      <c r="R109" s="15"/>
      <c r="S109" s="294">
        <f aca="true" t="shared" si="7" ref="S109:S120">SUM(C109:R109)</f>
        <v>310622500</v>
      </c>
      <c r="T109" s="260" t="s">
        <v>388</v>
      </c>
    </row>
    <row r="110" spans="1:20" ht="30.75" customHeight="1">
      <c r="A110" s="554"/>
      <c r="B110" s="31" t="s">
        <v>7</v>
      </c>
      <c r="C110" s="162">
        <v>10000000</v>
      </c>
      <c r="D110" s="11"/>
      <c r="E110" s="11"/>
      <c r="F110" s="15"/>
      <c r="G110" s="16">
        <v>10350000</v>
      </c>
      <c r="H110" s="11"/>
      <c r="I110" s="11"/>
      <c r="J110" s="15"/>
      <c r="K110" s="16">
        <v>10712250</v>
      </c>
      <c r="L110" s="11"/>
      <c r="M110" s="11"/>
      <c r="N110" s="15"/>
      <c r="O110" s="16">
        <v>11087179</v>
      </c>
      <c r="P110" s="11"/>
      <c r="Q110" s="11"/>
      <c r="R110" s="15"/>
      <c r="S110" s="294">
        <f t="shared" si="7"/>
        <v>42149429</v>
      </c>
      <c r="T110" s="260"/>
    </row>
    <row r="111" spans="1:20" ht="35.25" customHeight="1">
      <c r="A111" s="554"/>
      <c r="B111" s="31" t="s">
        <v>51</v>
      </c>
      <c r="C111" s="162">
        <v>20000000</v>
      </c>
      <c r="D111" s="11">
        <v>28500000</v>
      </c>
      <c r="E111" s="11"/>
      <c r="F111" s="15"/>
      <c r="G111" s="16">
        <v>20700000</v>
      </c>
      <c r="H111" s="11">
        <v>29497500</v>
      </c>
      <c r="I111" s="11"/>
      <c r="J111" s="15"/>
      <c r="K111" s="16">
        <v>21424500</v>
      </c>
      <c r="L111" s="11">
        <v>30529913</v>
      </c>
      <c r="M111" s="11"/>
      <c r="N111" s="15"/>
      <c r="O111" s="16">
        <v>22174358</v>
      </c>
      <c r="P111" s="11">
        <v>31598460</v>
      </c>
      <c r="Q111" s="11"/>
      <c r="R111" s="15"/>
      <c r="S111" s="294">
        <f t="shared" si="7"/>
        <v>204424731</v>
      </c>
      <c r="T111" s="260"/>
    </row>
    <row r="112" spans="1:20" ht="33" customHeight="1">
      <c r="A112" s="554"/>
      <c r="B112" s="31" t="s">
        <v>52</v>
      </c>
      <c r="C112" s="162"/>
      <c r="D112" s="11"/>
      <c r="E112" s="11"/>
      <c r="F112" s="15"/>
      <c r="G112" s="16">
        <v>10000000</v>
      </c>
      <c r="H112" s="11"/>
      <c r="I112" s="11"/>
      <c r="J112" s="15"/>
      <c r="K112" s="16">
        <v>10350000</v>
      </c>
      <c r="L112" s="11"/>
      <c r="M112" s="11"/>
      <c r="N112" s="15"/>
      <c r="O112" s="16">
        <v>10712250</v>
      </c>
      <c r="P112" s="11"/>
      <c r="Q112" s="11"/>
      <c r="R112" s="15"/>
      <c r="S112" s="294">
        <f t="shared" si="7"/>
        <v>31062250</v>
      </c>
      <c r="T112" s="260"/>
    </row>
    <row r="113" spans="1:20" ht="24" customHeight="1">
      <c r="A113" s="555"/>
      <c r="B113" s="31" t="s">
        <v>53</v>
      </c>
      <c r="C113" s="162"/>
      <c r="D113" s="11"/>
      <c r="E113" s="11"/>
      <c r="F113" s="15"/>
      <c r="G113" s="16">
        <v>2000000</v>
      </c>
      <c r="H113" s="11"/>
      <c r="I113" s="11"/>
      <c r="J113" s="15"/>
      <c r="K113" s="16">
        <v>2070000</v>
      </c>
      <c r="L113" s="11"/>
      <c r="M113" s="11"/>
      <c r="N113" s="15"/>
      <c r="O113" s="16">
        <v>2142450</v>
      </c>
      <c r="P113" s="11"/>
      <c r="Q113" s="11"/>
      <c r="R113" s="15"/>
      <c r="S113" s="294">
        <f t="shared" si="7"/>
        <v>6212450</v>
      </c>
      <c r="T113" s="260"/>
    </row>
    <row r="114" spans="1:20" ht="44.25" customHeight="1">
      <c r="A114" s="67" t="s">
        <v>336</v>
      </c>
      <c r="B114" s="31" t="s">
        <v>54</v>
      </c>
      <c r="C114" s="162">
        <v>10000000</v>
      </c>
      <c r="D114" s="11"/>
      <c r="E114" s="11"/>
      <c r="F114" s="15"/>
      <c r="G114" s="16">
        <v>10350000</v>
      </c>
      <c r="H114" s="11"/>
      <c r="I114" s="11"/>
      <c r="J114" s="15"/>
      <c r="K114" s="16">
        <v>10712250</v>
      </c>
      <c r="L114" s="11"/>
      <c r="M114" s="11"/>
      <c r="N114" s="15"/>
      <c r="O114" s="16">
        <v>11087179</v>
      </c>
      <c r="P114" s="11"/>
      <c r="Q114" s="11"/>
      <c r="R114" s="15"/>
      <c r="S114" s="294">
        <f t="shared" si="7"/>
        <v>42149429</v>
      </c>
      <c r="T114" s="260" t="s">
        <v>389</v>
      </c>
    </row>
    <row r="115" spans="1:20" ht="51">
      <c r="A115" s="553" t="s">
        <v>335</v>
      </c>
      <c r="B115" s="31" t="s">
        <v>55</v>
      </c>
      <c r="C115" s="162">
        <v>18000000</v>
      </c>
      <c r="D115" s="11"/>
      <c r="E115" s="11"/>
      <c r="F115" s="15"/>
      <c r="G115" s="16">
        <v>18630000</v>
      </c>
      <c r="H115" s="11"/>
      <c r="I115" s="11"/>
      <c r="J115" s="15"/>
      <c r="K115" s="16">
        <v>19282050</v>
      </c>
      <c r="L115" s="11"/>
      <c r="M115" s="11"/>
      <c r="N115" s="15"/>
      <c r="O115" s="16">
        <v>19956922</v>
      </c>
      <c r="P115" s="11"/>
      <c r="Q115" s="11"/>
      <c r="R115" s="15"/>
      <c r="S115" s="294">
        <f t="shared" si="7"/>
        <v>75868972</v>
      </c>
      <c r="T115" s="260" t="s">
        <v>388</v>
      </c>
    </row>
    <row r="116" spans="1:20" ht="23.25" customHeight="1">
      <c r="A116" s="554"/>
      <c r="B116" s="31" t="s">
        <v>163</v>
      </c>
      <c r="C116" s="162">
        <v>1419900</v>
      </c>
      <c r="D116" s="11">
        <v>6700000</v>
      </c>
      <c r="E116" s="11"/>
      <c r="F116" s="15"/>
      <c r="G116" s="16">
        <v>1469597</v>
      </c>
      <c r="H116" s="11">
        <v>6934500</v>
      </c>
      <c r="I116" s="11"/>
      <c r="J116" s="15"/>
      <c r="K116" s="16">
        <v>1521032</v>
      </c>
      <c r="L116" s="11">
        <v>7177208</v>
      </c>
      <c r="M116" s="11"/>
      <c r="N116" s="15"/>
      <c r="O116" s="16">
        <v>1574269</v>
      </c>
      <c r="P116" s="11">
        <v>7428410</v>
      </c>
      <c r="Q116" s="11"/>
      <c r="R116" s="15"/>
      <c r="S116" s="294">
        <f t="shared" si="7"/>
        <v>34224916</v>
      </c>
      <c r="T116" s="260"/>
    </row>
    <row r="117" spans="1:20" ht="23.25" customHeight="1">
      <c r="A117" s="554"/>
      <c r="B117" s="31" t="s">
        <v>164</v>
      </c>
      <c r="C117" s="162">
        <v>10000000</v>
      </c>
      <c r="D117" s="11"/>
      <c r="E117" s="11"/>
      <c r="F117" s="15"/>
      <c r="G117" s="16">
        <v>10350000</v>
      </c>
      <c r="H117" s="11"/>
      <c r="I117" s="11"/>
      <c r="J117" s="15"/>
      <c r="K117" s="16">
        <v>10712250</v>
      </c>
      <c r="L117" s="11"/>
      <c r="M117" s="11"/>
      <c r="N117" s="15"/>
      <c r="O117" s="16">
        <v>11087179</v>
      </c>
      <c r="P117" s="11"/>
      <c r="Q117" s="11"/>
      <c r="R117" s="15"/>
      <c r="S117" s="294">
        <f t="shared" si="7"/>
        <v>42149429</v>
      </c>
      <c r="T117" s="260"/>
    </row>
    <row r="118" spans="1:20" ht="18.75" customHeight="1">
      <c r="A118" s="555"/>
      <c r="B118" s="31" t="s">
        <v>165</v>
      </c>
      <c r="C118" s="162"/>
      <c r="D118" s="11"/>
      <c r="E118" s="11"/>
      <c r="F118" s="15"/>
      <c r="G118" s="16">
        <v>100000000</v>
      </c>
      <c r="H118" s="11"/>
      <c r="I118" s="11"/>
      <c r="J118" s="15">
        <v>200000000</v>
      </c>
      <c r="K118" s="16"/>
      <c r="L118" s="11"/>
      <c r="M118" s="11"/>
      <c r="N118" s="15"/>
      <c r="O118" s="16"/>
      <c r="P118" s="11"/>
      <c r="Q118" s="11"/>
      <c r="R118" s="15"/>
      <c r="S118" s="294">
        <f t="shared" si="7"/>
        <v>300000000</v>
      </c>
      <c r="T118" s="260"/>
    </row>
    <row r="119" spans="1:20" ht="35.25" customHeight="1">
      <c r="A119" s="553" t="s">
        <v>27</v>
      </c>
      <c r="B119" s="31" t="s">
        <v>433</v>
      </c>
      <c r="C119" s="163">
        <v>7407778</v>
      </c>
      <c r="D119" s="11"/>
      <c r="E119" s="11"/>
      <c r="F119" s="15"/>
      <c r="G119" s="16">
        <v>7667050</v>
      </c>
      <c r="H119" s="11"/>
      <c r="I119" s="11"/>
      <c r="J119" s="15"/>
      <c r="K119" s="16">
        <v>7935397</v>
      </c>
      <c r="L119" s="11"/>
      <c r="M119" s="11"/>
      <c r="N119" s="15"/>
      <c r="O119" s="16">
        <v>8213136</v>
      </c>
      <c r="P119" s="11"/>
      <c r="Q119" s="11"/>
      <c r="R119" s="15"/>
      <c r="S119" s="294">
        <f t="shared" si="7"/>
        <v>31223361</v>
      </c>
      <c r="T119" s="260" t="s">
        <v>389</v>
      </c>
    </row>
    <row r="120" spans="1:20" ht="25.5" customHeight="1" thickBot="1">
      <c r="A120" s="462"/>
      <c r="B120" s="32" t="s">
        <v>56</v>
      </c>
      <c r="C120" s="162">
        <f>12000000+846721</f>
        <v>12846721</v>
      </c>
      <c r="D120" s="11"/>
      <c r="E120" s="11"/>
      <c r="F120" s="15"/>
      <c r="G120" s="16">
        <v>13296356</v>
      </c>
      <c r="H120" s="11"/>
      <c r="I120" s="11"/>
      <c r="J120" s="15"/>
      <c r="K120" s="16">
        <v>13761729</v>
      </c>
      <c r="L120" s="11"/>
      <c r="M120" s="11"/>
      <c r="N120" s="15"/>
      <c r="O120" s="16">
        <v>14243389</v>
      </c>
      <c r="P120" s="11"/>
      <c r="Q120" s="11"/>
      <c r="R120" s="15"/>
      <c r="S120" s="294">
        <f t="shared" si="7"/>
        <v>54148195</v>
      </c>
      <c r="T120" s="260"/>
    </row>
    <row r="121" spans="1:20" ht="27" customHeight="1" thickBot="1">
      <c r="A121" s="510" t="s">
        <v>221</v>
      </c>
      <c r="B121" s="511"/>
      <c r="C121" s="456">
        <f>SUM(C122:F123)</f>
        <v>110000000</v>
      </c>
      <c r="D121" s="457"/>
      <c r="E121" s="457"/>
      <c r="F121" s="457"/>
      <c r="G121" s="456">
        <f>SUM(G122:J123)</f>
        <v>112000000</v>
      </c>
      <c r="H121" s="457"/>
      <c r="I121" s="457"/>
      <c r="J121" s="457"/>
      <c r="K121" s="456">
        <f>SUM(K122:N123)</f>
        <v>115919981</v>
      </c>
      <c r="L121" s="457"/>
      <c r="M121" s="457"/>
      <c r="N121" s="457"/>
      <c r="O121" s="456">
        <f>SUM(O122:R123)</f>
        <v>119977200</v>
      </c>
      <c r="P121" s="457"/>
      <c r="Q121" s="457"/>
      <c r="R121" s="457"/>
      <c r="S121" s="523">
        <f>SUM(S122:S123)</f>
        <v>457897181</v>
      </c>
      <c r="T121" s="524"/>
    </row>
    <row r="122" spans="1:20" ht="38.25" customHeight="1">
      <c r="A122" s="66" t="s">
        <v>377</v>
      </c>
      <c r="B122" s="35" t="s">
        <v>126</v>
      </c>
      <c r="C122" s="39">
        <v>5000000</v>
      </c>
      <c r="D122" s="11"/>
      <c r="E122" s="11"/>
      <c r="F122" s="15"/>
      <c r="G122" s="16"/>
      <c r="H122" s="11"/>
      <c r="I122" s="11"/>
      <c r="J122" s="15"/>
      <c r="K122" s="16"/>
      <c r="L122" s="11"/>
      <c r="M122" s="11"/>
      <c r="N122" s="15"/>
      <c r="O122" s="16"/>
      <c r="P122" s="11"/>
      <c r="Q122" s="11"/>
      <c r="R122" s="15"/>
      <c r="S122" s="294">
        <f>SUM(C122:R122)</f>
        <v>5000000</v>
      </c>
      <c r="T122" s="260" t="s">
        <v>388</v>
      </c>
    </row>
    <row r="123" spans="1:20" ht="18.75" customHeight="1" thickBot="1">
      <c r="A123" s="68" t="s">
        <v>27</v>
      </c>
      <c r="B123" s="69" t="s">
        <v>57</v>
      </c>
      <c r="C123" s="394">
        <f>105000000-D123</f>
        <v>73153279</v>
      </c>
      <c r="D123" s="70">
        <v>31846721</v>
      </c>
      <c r="E123" s="70"/>
      <c r="F123" s="71"/>
      <c r="G123" s="72">
        <v>79038644</v>
      </c>
      <c r="H123" s="70">
        <v>32961356</v>
      </c>
      <c r="I123" s="70"/>
      <c r="J123" s="71"/>
      <c r="K123" s="72">
        <v>81804977</v>
      </c>
      <c r="L123" s="70">
        <v>34115004</v>
      </c>
      <c r="M123" s="70"/>
      <c r="N123" s="71"/>
      <c r="O123" s="72">
        <v>84668171</v>
      </c>
      <c r="P123" s="70">
        <v>35309029</v>
      </c>
      <c r="Q123" s="70"/>
      <c r="R123" s="71"/>
      <c r="S123" s="294">
        <f>SUM(C123:R123)</f>
        <v>452897181</v>
      </c>
      <c r="T123" s="260" t="s">
        <v>389</v>
      </c>
    </row>
    <row r="124" spans="1:20" ht="27" customHeight="1" thickBot="1">
      <c r="A124" s="510" t="s">
        <v>222</v>
      </c>
      <c r="B124" s="511"/>
      <c r="C124" s="456">
        <f>SUM(C125:F125)</f>
        <v>12350000</v>
      </c>
      <c r="D124" s="457"/>
      <c r="E124" s="457"/>
      <c r="F124" s="457"/>
      <c r="G124" s="456">
        <f>SUM(G125:J125)</f>
        <v>12782250</v>
      </c>
      <c r="H124" s="457"/>
      <c r="I124" s="457"/>
      <c r="J124" s="457"/>
      <c r="K124" s="456">
        <f>SUM(K125:N125)</f>
        <v>13229629</v>
      </c>
      <c r="L124" s="457"/>
      <c r="M124" s="457"/>
      <c r="N124" s="457"/>
      <c r="O124" s="456">
        <f>SUM(O125:R125)</f>
        <v>13692665</v>
      </c>
      <c r="P124" s="457"/>
      <c r="Q124" s="457"/>
      <c r="R124" s="457"/>
      <c r="S124" s="523">
        <f>SUM(S125)</f>
        <v>52054544</v>
      </c>
      <c r="T124" s="524"/>
    </row>
    <row r="125" spans="1:20" ht="51.75" thickBot="1">
      <c r="A125" s="73" t="s">
        <v>376</v>
      </c>
      <c r="B125" s="40" t="s">
        <v>488</v>
      </c>
      <c r="C125" s="387">
        <v>5000000</v>
      </c>
      <c r="D125" s="13">
        <v>7350000</v>
      </c>
      <c r="E125" s="13"/>
      <c r="F125" s="44"/>
      <c r="G125" s="45">
        <v>5175000</v>
      </c>
      <c r="H125" s="13">
        <v>7607250</v>
      </c>
      <c r="I125" s="13"/>
      <c r="J125" s="44"/>
      <c r="K125" s="45">
        <v>5356125</v>
      </c>
      <c r="L125" s="206">
        <v>7873504</v>
      </c>
      <c r="M125" s="13"/>
      <c r="N125" s="44"/>
      <c r="O125" s="45">
        <v>5543589</v>
      </c>
      <c r="P125" s="13">
        <v>8149076</v>
      </c>
      <c r="Q125" s="13"/>
      <c r="R125" s="44"/>
      <c r="S125" s="294">
        <f>SUM(C125:R125)</f>
        <v>52054544</v>
      </c>
      <c r="T125" s="260" t="s">
        <v>388</v>
      </c>
    </row>
    <row r="126" spans="1:20" ht="16.5" thickBot="1">
      <c r="A126" s="564" t="s">
        <v>280</v>
      </c>
      <c r="B126" s="565"/>
      <c r="C126" s="226">
        <f>+C102+C103+C104+C105+C106+C107+C109+C110+C111+C112+C113+C114+C115+C116+C117+C118+C119+C120+C122+C123+C125</f>
        <v>277327678</v>
      </c>
      <c r="D126" s="227">
        <f>+D102+D103+D104+D105+D106+D107+D109+D110+D111+D112+D113+D114+D115+D116+D117+D118+D119+D120+D122+D123+D125</f>
        <v>74396721</v>
      </c>
      <c r="E126" s="227">
        <f>+E102+E103+E104+E105+E106+E107+E109+E110+E111+E112+E113+E114+E115+E116+E117+E118+E119+E120+E122+E123+E125</f>
        <v>4000000</v>
      </c>
      <c r="F126" s="228">
        <f>+F102+F103+F104+F105+F106+F107+F109+F110+F111+F112+F113+F114+F115+F116+F117+F118+F119+F120+F122+F123+F125</f>
        <v>0</v>
      </c>
      <c r="G126" s="226">
        <f>+G102+G103+G104+G105+G106+G107+G109+G110+G111+G112+G113+G114+G115+G116+G117+G118+G119+G120+G122+G123+G125</f>
        <v>497184147</v>
      </c>
      <c r="H126" s="227">
        <f aca="true" t="shared" si="8" ref="H126:R126">+H102+H103+H104+H105+H106+H107+H109+H110+H111+H112+H113+H114+H115+H116+H117+H118+H119+H120+H122+H123+H125</f>
        <v>77000606</v>
      </c>
      <c r="I126" s="227">
        <f t="shared" si="8"/>
        <v>4140000</v>
      </c>
      <c r="J126" s="228">
        <f t="shared" si="8"/>
        <v>200000000</v>
      </c>
      <c r="K126" s="226">
        <f t="shared" si="8"/>
        <v>411085573</v>
      </c>
      <c r="L126" s="227">
        <f t="shared" si="8"/>
        <v>79695629</v>
      </c>
      <c r="M126" s="227">
        <f t="shared" si="8"/>
        <v>4284900</v>
      </c>
      <c r="N126" s="228">
        <f t="shared" si="8"/>
        <v>0</v>
      </c>
      <c r="O126" s="226">
        <f t="shared" si="8"/>
        <v>425473589</v>
      </c>
      <c r="P126" s="227">
        <f t="shared" si="8"/>
        <v>82484975</v>
      </c>
      <c r="Q126" s="227">
        <f t="shared" si="8"/>
        <v>4434872</v>
      </c>
      <c r="R126" s="265">
        <f t="shared" si="8"/>
        <v>0</v>
      </c>
      <c r="S126" s="539">
        <f>+S101+S108+S121+S124</f>
        <v>2141508690</v>
      </c>
      <c r="T126" s="540"/>
    </row>
    <row r="127" spans="1:20" ht="18" customHeight="1">
      <c r="A127" s="556" t="s">
        <v>226</v>
      </c>
      <c r="B127" s="557"/>
      <c r="C127" s="560" t="s">
        <v>5</v>
      </c>
      <c r="D127" s="561"/>
      <c r="E127" s="561"/>
      <c r="F127" s="561"/>
      <c r="G127" s="561"/>
      <c r="H127" s="561"/>
      <c r="I127" s="561"/>
      <c r="J127" s="561"/>
      <c r="K127" s="561"/>
      <c r="L127" s="561"/>
      <c r="M127" s="561"/>
      <c r="N127" s="561"/>
      <c r="O127" s="561"/>
      <c r="P127" s="561"/>
      <c r="Q127" s="561"/>
      <c r="R127" s="561"/>
      <c r="S127" s="256"/>
      <c r="T127" s="261"/>
    </row>
    <row r="128" spans="1:20" ht="18" customHeight="1" thickBot="1">
      <c r="A128" s="558"/>
      <c r="B128" s="559"/>
      <c r="C128" s="562" t="s">
        <v>141</v>
      </c>
      <c r="D128" s="563"/>
      <c r="E128" s="563"/>
      <c r="F128" s="563"/>
      <c r="G128" s="563"/>
      <c r="H128" s="563"/>
      <c r="I128" s="563"/>
      <c r="J128" s="563"/>
      <c r="K128" s="563"/>
      <c r="L128" s="563"/>
      <c r="M128" s="563"/>
      <c r="N128" s="563"/>
      <c r="O128" s="563"/>
      <c r="P128" s="563"/>
      <c r="Q128" s="563"/>
      <c r="R128" s="563"/>
      <c r="S128" s="295"/>
      <c r="T128" s="262"/>
    </row>
    <row r="129" spans="1:20" ht="16.5" thickBot="1">
      <c r="A129" s="466" t="s">
        <v>316</v>
      </c>
      <c r="B129" s="467"/>
      <c r="C129" s="468">
        <f>+C130+C132+C134</f>
        <v>455000000</v>
      </c>
      <c r="D129" s="469"/>
      <c r="E129" s="469"/>
      <c r="F129" s="469"/>
      <c r="G129" s="468">
        <f>+G130+G132+G134</f>
        <v>389725000</v>
      </c>
      <c r="H129" s="469"/>
      <c r="I129" s="469"/>
      <c r="J129" s="469"/>
      <c r="K129" s="468">
        <f>+K130+K132+K134</f>
        <v>244615375</v>
      </c>
      <c r="L129" s="469"/>
      <c r="M129" s="469"/>
      <c r="N129" s="469"/>
      <c r="O129" s="468">
        <f>+O130+O132+O134</f>
        <v>249676914</v>
      </c>
      <c r="P129" s="469"/>
      <c r="Q129" s="469"/>
      <c r="R129" s="469"/>
      <c r="S129" s="583">
        <f>SUM(C129:R129)</f>
        <v>1339017289</v>
      </c>
      <c r="T129" s="584"/>
    </row>
    <row r="130" spans="1:20" ht="27" customHeight="1" thickBot="1">
      <c r="A130" s="510" t="s">
        <v>404</v>
      </c>
      <c r="B130" s="511"/>
      <c r="C130" s="512">
        <f>SUM(C131:F131)</f>
        <v>100000000</v>
      </c>
      <c r="D130" s="513"/>
      <c r="E130" s="513"/>
      <c r="F130" s="514"/>
      <c r="G130" s="512">
        <f>SUM(G131:J131)</f>
        <v>103500000</v>
      </c>
      <c r="H130" s="513"/>
      <c r="I130" s="513"/>
      <c r="J130" s="514"/>
      <c r="K130" s="512">
        <f>SUM(K131:N131)</f>
        <v>107122500</v>
      </c>
      <c r="L130" s="513"/>
      <c r="M130" s="513"/>
      <c r="N130" s="514"/>
      <c r="O130" s="512">
        <f>SUM(O131:R131)</f>
        <v>110871788</v>
      </c>
      <c r="P130" s="513"/>
      <c r="Q130" s="513"/>
      <c r="R130" s="513"/>
      <c r="S130" s="523">
        <f>SUM(S131)</f>
        <v>421494288</v>
      </c>
      <c r="T130" s="524"/>
    </row>
    <row r="131" spans="1:20" ht="36" customHeight="1" thickBot="1">
      <c r="A131" s="252" t="s">
        <v>378</v>
      </c>
      <c r="B131" s="307" t="s">
        <v>452</v>
      </c>
      <c r="C131" s="45">
        <v>75000000</v>
      </c>
      <c r="D131" s="13">
        <v>25000000</v>
      </c>
      <c r="E131" s="13"/>
      <c r="F131" s="14"/>
      <c r="G131" s="43">
        <v>77625000</v>
      </c>
      <c r="H131" s="13">
        <v>25875000</v>
      </c>
      <c r="I131" s="13"/>
      <c r="J131" s="14"/>
      <c r="K131" s="43">
        <v>80341875</v>
      </c>
      <c r="L131" s="13">
        <v>26780625</v>
      </c>
      <c r="M131" s="13"/>
      <c r="N131" s="14"/>
      <c r="O131" s="43">
        <v>83153841</v>
      </c>
      <c r="P131" s="13">
        <v>27717947</v>
      </c>
      <c r="Q131" s="13"/>
      <c r="R131" s="44"/>
      <c r="S131" s="294">
        <f>SUM(C131:R131)</f>
        <v>421494288</v>
      </c>
      <c r="T131" s="260" t="s">
        <v>389</v>
      </c>
    </row>
    <row r="132" spans="1:20" ht="27" customHeight="1" thickBot="1">
      <c r="A132" s="566" t="s">
        <v>405</v>
      </c>
      <c r="B132" s="567"/>
      <c r="C132" s="456">
        <f>SUM(C133:F133)</f>
        <v>250000000</v>
      </c>
      <c r="D132" s="457"/>
      <c r="E132" s="457"/>
      <c r="F132" s="458"/>
      <c r="G132" s="457">
        <f>SUM(G133:J133)</f>
        <v>150000000</v>
      </c>
      <c r="H132" s="457"/>
      <c r="I132" s="457"/>
      <c r="J132" s="458"/>
      <c r="K132" s="457">
        <f>SUM(K133:N133)</f>
        <v>0</v>
      </c>
      <c r="L132" s="457"/>
      <c r="M132" s="457"/>
      <c r="N132" s="458"/>
      <c r="O132" s="457">
        <f>SUM(O133:R133)</f>
        <v>0</v>
      </c>
      <c r="P132" s="457"/>
      <c r="Q132" s="457"/>
      <c r="R132" s="457"/>
      <c r="S132" s="523">
        <f>SUM(S133)</f>
        <v>400000000</v>
      </c>
      <c r="T132" s="524"/>
    </row>
    <row r="133" spans="1:20" ht="24.75" customHeight="1" thickBot="1">
      <c r="A133" s="253" t="s">
        <v>378</v>
      </c>
      <c r="B133" s="307" t="s">
        <v>453</v>
      </c>
      <c r="C133" s="308">
        <v>250000000</v>
      </c>
      <c r="D133" s="41"/>
      <c r="E133" s="41"/>
      <c r="F133" s="42"/>
      <c r="G133" s="309">
        <v>150000000</v>
      </c>
      <c r="H133" s="41"/>
      <c r="I133" s="41"/>
      <c r="J133" s="42"/>
      <c r="K133" s="309"/>
      <c r="L133" s="41"/>
      <c r="M133" s="41"/>
      <c r="N133" s="42"/>
      <c r="O133" s="309"/>
      <c r="P133" s="41"/>
      <c r="Q133" s="41"/>
      <c r="R133" s="310"/>
      <c r="S133" s="294">
        <f>SUM(C133:R133)</f>
        <v>400000000</v>
      </c>
      <c r="T133" s="260" t="s">
        <v>389</v>
      </c>
    </row>
    <row r="134" spans="1:20" ht="27" customHeight="1" thickBot="1">
      <c r="A134" s="566" t="s">
        <v>406</v>
      </c>
      <c r="B134" s="567"/>
      <c r="C134" s="456">
        <f>SUM(C135:F135)</f>
        <v>105000000</v>
      </c>
      <c r="D134" s="457"/>
      <c r="E134" s="457"/>
      <c r="F134" s="458"/>
      <c r="G134" s="457">
        <f>SUM(G135:J135)</f>
        <v>136225000</v>
      </c>
      <c r="H134" s="457"/>
      <c r="I134" s="457"/>
      <c r="J134" s="458"/>
      <c r="K134" s="457">
        <f>SUM(K135:N135)</f>
        <v>137492875</v>
      </c>
      <c r="L134" s="457"/>
      <c r="M134" s="457"/>
      <c r="N134" s="458"/>
      <c r="O134" s="457">
        <f>SUM(O135:R135)</f>
        <v>138805126</v>
      </c>
      <c r="P134" s="457"/>
      <c r="Q134" s="457"/>
      <c r="R134" s="457"/>
      <c r="S134" s="523">
        <f>SUM(S135)</f>
        <v>517523001</v>
      </c>
      <c r="T134" s="524"/>
    </row>
    <row r="135" spans="1:20" ht="39" thickBot="1">
      <c r="A135" s="254" t="s">
        <v>378</v>
      </c>
      <c r="B135" s="40" t="s">
        <v>181</v>
      </c>
      <c r="C135" s="308">
        <v>70000000</v>
      </c>
      <c r="D135" s="41">
        <v>35000000</v>
      </c>
      <c r="E135" s="41"/>
      <c r="F135" s="42"/>
      <c r="G135" s="309">
        <v>100000000</v>
      </c>
      <c r="H135" s="41">
        <v>36225000</v>
      </c>
      <c r="I135" s="41"/>
      <c r="J135" s="42"/>
      <c r="K135" s="309">
        <v>100000000</v>
      </c>
      <c r="L135" s="41">
        <v>37492875</v>
      </c>
      <c r="M135" s="41"/>
      <c r="N135" s="42"/>
      <c r="O135" s="309">
        <v>100000000</v>
      </c>
      <c r="P135" s="41">
        <v>38805126</v>
      </c>
      <c r="Q135" s="41"/>
      <c r="R135" s="310"/>
      <c r="S135" s="294">
        <f>SUM(C135:R135)</f>
        <v>517523001</v>
      </c>
      <c r="T135" s="260" t="s">
        <v>389</v>
      </c>
    </row>
    <row r="136" spans="1:20" ht="16.5" thickBot="1">
      <c r="A136" s="564" t="s">
        <v>280</v>
      </c>
      <c r="B136" s="565"/>
      <c r="C136" s="226">
        <f>+C131+C133+C135</f>
        <v>395000000</v>
      </c>
      <c r="D136" s="227">
        <f>+D131+D133+D135</f>
        <v>60000000</v>
      </c>
      <c r="E136" s="227">
        <f>+E131+E133+E135</f>
        <v>0</v>
      </c>
      <c r="F136" s="228">
        <f>+F131+F133+F135</f>
        <v>0</v>
      </c>
      <c r="G136" s="229">
        <f>+G131+G133+G135</f>
        <v>327625000</v>
      </c>
      <c r="H136" s="229">
        <f aca="true" t="shared" si="9" ref="H136:R136">+H131+H133+H135</f>
        <v>62100000</v>
      </c>
      <c r="I136" s="229">
        <f t="shared" si="9"/>
        <v>0</v>
      </c>
      <c r="J136" s="233">
        <f t="shared" si="9"/>
        <v>0</v>
      </c>
      <c r="K136" s="229">
        <f t="shared" si="9"/>
        <v>180341875</v>
      </c>
      <c r="L136" s="229">
        <f t="shared" si="9"/>
        <v>64273500</v>
      </c>
      <c r="M136" s="229">
        <f t="shared" si="9"/>
        <v>0</v>
      </c>
      <c r="N136" s="233">
        <f t="shared" si="9"/>
        <v>0</v>
      </c>
      <c r="O136" s="229">
        <f t="shared" si="9"/>
        <v>183153841</v>
      </c>
      <c r="P136" s="229">
        <f t="shared" si="9"/>
        <v>66523073</v>
      </c>
      <c r="Q136" s="229">
        <f t="shared" si="9"/>
        <v>0</v>
      </c>
      <c r="R136" s="258">
        <f t="shared" si="9"/>
        <v>0</v>
      </c>
      <c r="S136" s="539">
        <f>+S130+S132+S134</f>
        <v>1339017289</v>
      </c>
      <c r="T136" s="540"/>
    </row>
    <row r="137" spans="1:20" ht="21" customHeight="1">
      <c r="A137" s="568"/>
      <c r="B137" s="569"/>
      <c r="C137" s="528">
        <v>2012</v>
      </c>
      <c r="D137" s="529"/>
      <c r="E137" s="529"/>
      <c r="F137" s="570"/>
      <c r="G137" s="528">
        <v>2013</v>
      </c>
      <c r="H137" s="529"/>
      <c r="I137" s="529"/>
      <c r="J137" s="570"/>
      <c r="K137" s="528">
        <v>2014</v>
      </c>
      <c r="L137" s="529"/>
      <c r="M137" s="529"/>
      <c r="N137" s="570"/>
      <c r="O137" s="528">
        <v>2015</v>
      </c>
      <c r="P137" s="529"/>
      <c r="Q137" s="529"/>
      <c r="R137" s="530"/>
      <c r="S137" s="691" t="s">
        <v>386</v>
      </c>
      <c r="T137" s="693" t="s">
        <v>403</v>
      </c>
    </row>
    <row r="138" spans="1:20" ht="25.5" customHeight="1" thickBot="1">
      <c r="A138" s="247" t="s">
        <v>0</v>
      </c>
      <c r="B138" s="248" t="s">
        <v>284</v>
      </c>
      <c r="C138" s="249" t="s">
        <v>1</v>
      </c>
      <c r="D138" s="250" t="s">
        <v>2</v>
      </c>
      <c r="E138" s="250" t="s">
        <v>3</v>
      </c>
      <c r="F138" s="251" t="s">
        <v>4</v>
      </c>
      <c r="G138" s="249" t="s">
        <v>1</v>
      </c>
      <c r="H138" s="250" t="s">
        <v>2</v>
      </c>
      <c r="I138" s="250" t="s">
        <v>3</v>
      </c>
      <c r="J138" s="251" t="s">
        <v>4</v>
      </c>
      <c r="K138" s="249" t="s">
        <v>1</v>
      </c>
      <c r="L138" s="250" t="s">
        <v>2</v>
      </c>
      <c r="M138" s="250" t="s">
        <v>3</v>
      </c>
      <c r="N138" s="251" t="s">
        <v>4</v>
      </c>
      <c r="O138" s="249" t="s">
        <v>1</v>
      </c>
      <c r="P138" s="250" t="s">
        <v>2</v>
      </c>
      <c r="Q138" s="250" t="s">
        <v>3</v>
      </c>
      <c r="R138" s="266" t="s">
        <v>4</v>
      </c>
      <c r="S138" s="692"/>
      <c r="T138" s="694"/>
    </row>
    <row r="139" spans="1:20" ht="12.75" customHeight="1">
      <c r="A139" s="481" t="s">
        <v>227</v>
      </c>
      <c r="B139" s="573"/>
      <c r="C139" s="505" t="s">
        <v>81</v>
      </c>
      <c r="D139" s="506"/>
      <c r="E139" s="506"/>
      <c r="F139" s="506"/>
      <c r="G139" s="506"/>
      <c r="H139" s="506"/>
      <c r="I139" s="506"/>
      <c r="J139" s="506"/>
      <c r="K139" s="506"/>
      <c r="L139" s="506"/>
      <c r="M139" s="506"/>
      <c r="N139" s="506"/>
      <c r="O139" s="506"/>
      <c r="P139" s="506"/>
      <c r="Q139" s="506"/>
      <c r="R139" s="506"/>
      <c r="T139" s="302"/>
    </row>
    <row r="140" spans="1:20" ht="12.75" customHeight="1">
      <c r="A140" s="574"/>
      <c r="B140" s="575"/>
      <c r="C140" s="508" t="s">
        <v>82</v>
      </c>
      <c r="D140" s="509"/>
      <c r="E140" s="509"/>
      <c r="F140" s="509"/>
      <c r="G140" s="509"/>
      <c r="H140" s="509"/>
      <c r="I140" s="509"/>
      <c r="J140" s="509"/>
      <c r="K140" s="509"/>
      <c r="L140" s="509"/>
      <c r="M140" s="509"/>
      <c r="N140" s="509"/>
      <c r="O140" s="509"/>
      <c r="P140" s="509"/>
      <c r="Q140" s="509"/>
      <c r="R140" s="509"/>
      <c r="T140" s="302"/>
    </row>
    <row r="141" spans="1:20" ht="12.75" customHeight="1" thickBot="1">
      <c r="A141" s="574"/>
      <c r="B141" s="575"/>
      <c r="C141" s="576" t="s">
        <v>454</v>
      </c>
      <c r="D141" s="577"/>
      <c r="E141" s="577"/>
      <c r="F141" s="577"/>
      <c r="G141" s="577"/>
      <c r="H141" s="577"/>
      <c r="I141" s="577"/>
      <c r="J141" s="577"/>
      <c r="K141" s="577"/>
      <c r="L141" s="577"/>
      <c r="M141" s="577"/>
      <c r="N141" s="577"/>
      <c r="O141" s="577"/>
      <c r="P141" s="577"/>
      <c r="Q141" s="577"/>
      <c r="R141" s="577"/>
      <c r="S141" s="577"/>
      <c r="T141" s="578"/>
    </row>
    <row r="142" spans="1:20" ht="16.5" thickBot="1">
      <c r="A142" s="466" t="s">
        <v>317</v>
      </c>
      <c r="B142" s="467"/>
      <c r="C142" s="468">
        <f>+C143+C146+C149+C151</f>
        <v>1593978844</v>
      </c>
      <c r="D142" s="469"/>
      <c r="E142" s="469"/>
      <c r="F142" s="469"/>
      <c r="G142" s="468">
        <f>+G143+G146+G149+G151</f>
        <v>762772298</v>
      </c>
      <c r="H142" s="469"/>
      <c r="I142" s="469"/>
      <c r="J142" s="469"/>
      <c r="K142" s="468">
        <f>+K143+K146+K149+K151</f>
        <v>789469329</v>
      </c>
      <c r="L142" s="469"/>
      <c r="M142" s="469"/>
      <c r="N142" s="469"/>
      <c r="O142" s="468">
        <f>+O143+O146+O149+O151</f>
        <v>817100758</v>
      </c>
      <c r="P142" s="469"/>
      <c r="Q142" s="469"/>
      <c r="R142" s="469"/>
      <c r="S142" s="583">
        <f>SUM(C142:R142)</f>
        <v>3963321229</v>
      </c>
      <c r="T142" s="584"/>
    </row>
    <row r="143" spans="1:20" ht="27" customHeight="1" thickBot="1">
      <c r="A143" s="571" t="s">
        <v>229</v>
      </c>
      <c r="B143" s="572"/>
      <c r="C143" s="512">
        <f>SUM(C144:F145)</f>
        <v>48000000</v>
      </c>
      <c r="D143" s="513"/>
      <c r="E143" s="513"/>
      <c r="F143" s="514"/>
      <c r="G143" s="513">
        <f>SUM(G144:J145)</f>
        <v>51105000</v>
      </c>
      <c r="H143" s="513"/>
      <c r="I143" s="513"/>
      <c r="J143" s="514"/>
      <c r="K143" s="513">
        <f>SUM(K144:N145)</f>
        <v>52893675</v>
      </c>
      <c r="L143" s="513"/>
      <c r="M143" s="513"/>
      <c r="N143" s="514"/>
      <c r="O143" s="513">
        <f>SUM(O144:R145)</f>
        <v>54744954</v>
      </c>
      <c r="P143" s="513"/>
      <c r="Q143" s="513"/>
      <c r="R143" s="513"/>
      <c r="S143" s="523">
        <f>SUM(S144:S145)</f>
        <v>206743629</v>
      </c>
      <c r="T143" s="524"/>
    </row>
    <row r="144" spans="1:20" ht="25.5">
      <c r="A144" s="461" t="s">
        <v>27</v>
      </c>
      <c r="B144" s="35" t="s">
        <v>83</v>
      </c>
      <c r="C144" s="16">
        <v>45000000</v>
      </c>
      <c r="D144" s="11"/>
      <c r="E144" s="11"/>
      <c r="F144" s="12"/>
      <c r="G144" s="10">
        <v>48000000</v>
      </c>
      <c r="H144" s="11"/>
      <c r="I144" s="11"/>
      <c r="J144" s="12"/>
      <c r="K144" s="10">
        <v>49680000</v>
      </c>
      <c r="L144" s="11"/>
      <c r="M144" s="11"/>
      <c r="N144" s="12"/>
      <c r="O144" s="10">
        <v>51418800</v>
      </c>
      <c r="P144" s="11"/>
      <c r="Q144" s="11"/>
      <c r="R144" s="15"/>
      <c r="S144" s="294">
        <f>SUM(C144:R144)</f>
        <v>194098800</v>
      </c>
      <c r="T144" s="436" t="s">
        <v>389</v>
      </c>
    </row>
    <row r="145" spans="1:20" ht="26.25" thickBot="1">
      <c r="A145" s="462"/>
      <c r="B145" s="32" t="s">
        <v>127</v>
      </c>
      <c r="C145" s="16">
        <v>3000000</v>
      </c>
      <c r="D145" s="11"/>
      <c r="E145" s="11"/>
      <c r="F145" s="12"/>
      <c r="G145" s="10">
        <v>3105000</v>
      </c>
      <c r="H145" s="11"/>
      <c r="I145" s="11"/>
      <c r="J145" s="12"/>
      <c r="K145" s="10">
        <v>3213675</v>
      </c>
      <c r="L145" s="11"/>
      <c r="M145" s="11"/>
      <c r="N145" s="12"/>
      <c r="O145" s="10">
        <v>3326154</v>
      </c>
      <c r="P145" s="11"/>
      <c r="Q145" s="11"/>
      <c r="R145" s="268"/>
      <c r="S145" s="294">
        <f>SUM(C145:R145)</f>
        <v>12644829</v>
      </c>
      <c r="T145" s="436"/>
    </row>
    <row r="146" spans="1:20" ht="27" customHeight="1" thickBot="1">
      <c r="A146" s="571" t="s">
        <v>228</v>
      </c>
      <c r="B146" s="572"/>
      <c r="C146" s="456">
        <f>SUM(C147:F148)</f>
        <v>526946665</v>
      </c>
      <c r="D146" s="457"/>
      <c r="E146" s="457"/>
      <c r="F146" s="458"/>
      <c r="G146" s="457">
        <f>SUM(G147:J148)</f>
        <v>537627298</v>
      </c>
      <c r="H146" s="457"/>
      <c r="I146" s="457"/>
      <c r="J146" s="458"/>
      <c r="K146" s="457">
        <f>SUM(K147:N148)</f>
        <v>556444254</v>
      </c>
      <c r="L146" s="457"/>
      <c r="M146" s="457"/>
      <c r="N146" s="458"/>
      <c r="O146" s="457">
        <f>SUM(O147:R148)</f>
        <v>575919803</v>
      </c>
      <c r="P146" s="457"/>
      <c r="Q146" s="457"/>
      <c r="R146" s="457"/>
      <c r="S146" s="523">
        <f>SUM(S147:S148)</f>
        <v>2196938020</v>
      </c>
      <c r="T146" s="524"/>
    </row>
    <row r="147" spans="1:20" ht="25.5">
      <c r="A147" s="461" t="s">
        <v>27</v>
      </c>
      <c r="B147" s="35" t="s">
        <v>84</v>
      </c>
      <c r="C147" s="72">
        <f>475000000+44446665</f>
        <v>519446665</v>
      </c>
      <c r="D147" s="11"/>
      <c r="E147" s="11"/>
      <c r="F147" s="12"/>
      <c r="G147" s="10">
        <f>491625000+46002298</f>
        <v>537627298</v>
      </c>
      <c r="H147" s="11"/>
      <c r="I147" s="11"/>
      <c r="J147" s="12"/>
      <c r="K147" s="207">
        <f>508831875+47612379</f>
        <v>556444254</v>
      </c>
      <c r="L147" s="11"/>
      <c r="M147" s="11"/>
      <c r="N147" s="12"/>
      <c r="O147" s="10">
        <f>526640991+49278812</f>
        <v>575919803</v>
      </c>
      <c r="P147" s="11"/>
      <c r="Q147" s="11"/>
      <c r="R147" s="15"/>
      <c r="S147" s="294">
        <f>SUM(C147:R147)</f>
        <v>2189438020</v>
      </c>
      <c r="T147" s="436" t="s">
        <v>389</v>
      </c>
    </row>
    <row r="148" spans="1:20" ht="39" thickBot="1">
      <c r="A148" s="462"/>
      <c r="B148" s="32" t="s">
        <v>130</v>
      </c>
      <c r="C148" s="16">
        <v>7500000</v>
      </c>
      <c r="D148" s="11"/>
      <c r="E148" s="11"/>
      <c r="F148" s="12"/>
      <c r="G148" s="10"/>
      <c r="H148" s="11"/>
      <c r="I148" s="11"/>
      <c r="J148" s="12"/>
      <c r="K148" s="10"/>
      <c r="L148" s="11"/>
      <c r="M148" s="11"/>
      <c r="N148" s="12"/>
      <c r="O148" s="10"/>
      <c r="P148" s="11"/>
      <c r="Q148" s="11"/>
      <c r="R148" s="268"/>
      <c r="S148" s="294">
        <f>SUM(C148:R148)</f>
        <v>7500000</v>
      </c>
      <c r="T148" s="436"/>
    </row>
    <row r="149" spans="1:20" ht="27" customHeight="1" thickBot="1">
      <c r="A149" s="571" t="s">
        <v>230</v>
      </c>
      <c r="B149" s="572"/>
      <c r="C149" s="456">
        <f>SUM(C150:F150)</f>
        <v>12000000</v>
      </c>
      <c r="D149" s="457"/>
      <c r="E149" s="457"/>
      <c r="F149" s="458"/>
      <c r="G149" s="457">
        <f>SUM(G150:J150)</f>
        <v>12420000</v>
      </c>
      <c r="H149" s="457"/>
      <c r="I149" s="457"/>
      <c r="J149" s="458"/>
      <c r="K149" s="457">
        <f>SUM(K150:N150)</f>
        <v>12854700</v>
      </c>
      <c r="L149" s="457"/>
      <c r="M149" s="457"/>
      <c r="N149" s="458"/>
      <c r="O149" s="457">
        <f>SUM(O150:R150)</f>
        <v>13304615</v>
      </c>
      <c r="P149" s="457"/>
      <c r="Q149" s="457"/>
      <c r="R149" s="457"/>
      <c r="S149" s="523">
        <f>SUM(S150)</f>
        <v>50579315</v>
      </c>
      <c r="T149" s="524"/>
    </row>
    <row r="150" spans="1:20" ht="36" customHeight="1" thickBot="1">
      <c r="A150" s="33" t="s">
        <v>27</v>
      </c>
      <c r="B150" s="40" t="s">
        <v>85</v>
      </c>
      <c r="C150" s="16">
        <v>12000000</v>
      </c>
      <c r="D150" s="11"/>
      <c r="E150" s="11"/>
      <c r="F150" s="12"/>
      <c r="G150" s="10">
        <v>12420000</v>
      </c>
      <c r="H150" s="11"/>
      <c r="I150" s="11"/>
      <c r="J150" s="12"/>
      <c r="K150" s="10">
        <v>12854700</v>
      </c>
      <c r="L150" s="11"/>
      <c r="M150" s="11"/>
      <c r="N150" s="12"/>
      <c r="O150" s="10">
        <v>13304615</v>
      </c>
      <c r="P150" s="11"/>
      <c r="Q150" s="11"/>
      <c r="R150" s="268"/>
      <c r="S150" s="294">
        <f>SUM(C150:R150)</f>
        <v>50579315</v>
      </c>
      <c r="T150" s="260" t="s">
        <v>389</v>
      </c>
    </row>
    <row r="151" spans="1:20" ht="27" customHeight="1" thickBot="1">
      <c r="A151" s="571" t="s">
        <v>231</v>
      </c>
      <c r="B151" s="572"/>
      <c r="C151" s="456">
        <f>SUM(C152:F160)</f>
        <v>1007032179</v>
      </c>
      <c r="D151" s="457"/>
      <c r="E151" s="457"/>
      <c r="F151" s="458"/>
      <c r="G151" s="456">
        <f>SUM(G152:J160)</f>
        <v>161620000</v>
      </c>
      <c r="H151" s="457"/>
      <c r="I151" s="457"/>
      <c r="J151" s="458"/>
      <c r="K151" s="457">
        <f>SUM(K152:N160)</f>
        <v>167276700</v>
      </c>
      <c r="L151" s="457"/>
      <c r="M151" s="457"/>
      <c r="N151" s="458"/>
      <c r="O151" s="457">
        <f>SUM(O152:R160)</f>
        <v>173131386</v>
      </c>
      <c r="P151" s="457"/>
      <c r="Q151" s="457"/>
      <c r="R151" s="457"/>
      <c r="S151" s="523">
        <f>SUM(S152:S160)</f>
        <v>1509060265</v>
      </c>
      <c r="T151" s="524"/>
    </row>
    <row r="152" spans="1:20" ht="38.25" customHeight="1">
      <c r="A152" s="461" t="s">
        <v>27</v>
      </c>
      <c r="B152" s="35" t="s">
        <v>455</v>
      </c>
      <c r="C152" s="16">
        <v>20000000</v>
      </c>
      <c r="D152" s="11"/>
      <c r="E152" s="11"/>
      <c r="F152" s="12"/>
      <c r="G152" s="16">
        <v>20700000</v>
      </c>
      <c r="H152" s="11"/>
      <c r="I152" s="11"/>
      <c r="J152" s="12"/>
      <c r="K152" s="10">
        <v>21424500</v>
      </c>
      <c r="L152" s="11"/>
      <c r="M152" s="11"/>
      <c r="N152" s="12"/>
      <c r="O152" s="10">
        <v>22174358</v>
      </c>
      <c r="P152" s="11"/>
      <c r="Q152" s="11"/>
      <c r="R152" s="15"/>
      <c r="S152" s="294">
        <f aca="true" t="shared" si="10" ref="S152:S160">SUM(C152:R152)</f>
        <v>84298858</v>
      </c>
      <c r="T152" s="436" t="s">
        <v>389</v>
      </c>
    </row>
    <row r="153" spans="1:20" ht="25.5">
      <c r="A153" s="554"/>
      <c r="B153" s="31" t="s">
        <v>86</v>
      </c>
      <c r="C153" s="16"/>
      <c r="D153" s="11"/>
      <c r="E153" s="11"/>
      <c r="F153" s="12"/>
      <c r="G153" s="16">
        <v>25000000</v>
      </c>
      <c r="H153" s="11"/>
      <c r="I153" s="11"/>
      <c r="J153" s="12"/>
      <c r="K153" s="10">
        <v>25875000</v>
      </c>
      <c r="L153" s="11"/>
      <c r="M153" s="11"/>
      <c r="N153" s="12"/>
      <c r="O153" s="10">
        <v>26780625</v>
      </c>
      <c r="P153" s="11"/>
      <c r="Q153" s="11"/>
      <c r="R153" s="15"/>
      <c r="S153" s="294">
        <f t="shared" si="10"/>
        <v>77655625</v>
      </c>
      <c r="T153" s="436"/>
    </row>
    <row r="154" spans="1:20" ht="25.5">
      <c r="A154" s="554"/>
      <c r="B154" s="31" t="s">
        <v>119</v>
      </c>
      <c r="C154" s="16">
        <v>200000000</v>
      </c>
      <c r="D154" s="11"/>
      <c r="E154" s="11"/>
      <c r="F154" s="12"/>
      <c r="G154" s="16"/>
      <c r="H154" s="11"/>
      <c r="I154" s="11"/>
      <c r="J154" s="12"/>
      <c r="K154" s="10"/>
      <c r="L154" s="11"/>
      <c r="M154" s="11"/>
      <c r="N154" s="12"/>
      <c r="O154" s="10"/>
      <c r="P154" s="11"/>
      <c r="Q154" s="11"/>
      <c r="R154" s="15"/>
      <c r="S154" s="294">
        <f t="shared" si="10"/>
        <v>200000000</v>
      </c>
      <c r="T154" s="436"/>
    </row>
    <row r="155" spans="1:20" ht="38.25">
      <c r="A155" s="554"/>
      <c r="B155" s="31" t="s">
        <v>133</v>
      </c>
      <c r="C155" s="16">
        <v>30000000</v>
      </c>
      <c r="D155" s="11"/>
      <c r="E155" s="11"/>
      <c r="F155" s="12"/>
      <c r="G155" s="16">
        <v>31050000</v>
      </c>
      <c r="H155" s="11"/>
      <c r="I155" s="11"/>
      <c r="J155" s="12"/>
      <c r="K155" s="10">
        <v>32136750</v>
      </c>
      <c r="L155" s="11"/>
      <c r="M155" s="11"/>
      <c r="N155" s="12"/>
      <c r="O155" s="10">
        <v>33261536</v>
      </c>
      <c r="P155" s="11"/>
      <c r="Q155" s="11"/>
      <c r="R155" s="15"/>
      <c r="S155" s="294">
        <f t="shared" si="10"/>
        <v>126448286</v>
      </c>
      <c r="T155" s="436"/>
    </row>
    <row r="156" spans="1:20" ht="25.5">
      <c r="A156" s="554"/>
      <c r="B156" s="31" t="s">
        <v>131</v>
      </c>
      <c r="C156" s="16"/>
      <c r="D156" s="11"/>
      <c r="E156" s="11">
        <v>675032179</v>
      </c>
      <c r="F156" s="12"/>
      <c r="G156" s="16"/>
      <c r="H156" s="11"/>
      <c r="I156" s="11"/>
      <c r="J156" s="12"/>
      <c r="K156" s="10"/>
      <c r="L156" s="11"/>
      <c r="M156" s="11"/>
      <c r="N156" s="12"/>
      <c r="O156" s="10"/>
      <c r="P156" s="11"/>
      <c r="Q156" s="11"/>
      <c r="R156" s="15"/>
      <c r="S156" s="294">
        <f t="shared" si="10"/>
        <v>675032179</v>
      </c>
      <c r="T156" s="436"/>
    </row>
    <row r="157" spans="1:20" ht="25.5">
      <c r="A157" s="554"/>
      <c r="B157" s="31" t="s">
        <v>132</v>
      </c>
      <c r="C157" s="16">
        <v>5000000</v>
      </c>
      <c r="D157" s="11"/>
      <c r="E157" s="11"/>
      <c r="F157" s="12"/>
      <c r="G157" s="16">
        <v>5175000</v>
      </c>
      <c r="H157" s="11"/>
      <c r="I157" s="11"/>
      <c r="J157" s="12"/>
      <c r="K157" s="10">
        <v>5356125</v>
      </c>
      <c r="L157" s="11"/>
      <c r="M157" s="11"/>
      <c r="N157" s="12"/>
      <c r="O157" s="10">
        <v>5543589</v>
      </c>
      <c r="P157" s="11"/>
      <c r="Q157" s="11"/>
      <c r="R157" s="15"/>
      <c r="S157" s="294">
        <f t="shared" si="10"/>
        <v>21074714</v>
      </c>
      <c r="T157" s="436"/>
    </row>
    <row r="158" spans="1:20" ht="25.5">
      <c r="A158" s="554"/>
      <c r="B158" s="31" t="s">
        <v>87</v>
      </c>
      <c r="C158" s="16">
        <v>20000000</v>
      </c>
      <c r="D158" s="11"/>
      <c r="E158" s="11"/>
      <c r="F158" s="12"/>
      <c r="G158" s="16">
        <v>20700000</v>
      </c>
      <c r="H158" s="11"/>
      <c r="I158" s="11"/>
      <c r="J158" s="12"/>
      <c r="K158" s="10">
        <v>21424500</v>
      </c>
      <c r="L158" s="11"/>
      <c r="M158" s="11"/>
      <c r="N158" s="12"/>
      <c r="O158" s="10">
        <v>22174358</v>
      </c>
      <c r="P158" s="11"/>
      <c r="Q158" s="11"/>
      <c r="R158" s="269"/>
      <c r="S158" s="294">
        <f t="shared" si="10"/>
        <v>84298858</v>
      </c>
      <c r="T158" s="436"/>
    </row>
    <row r="159" spans="1:20" ht="15">
      <c r="A159" s="555"/>
      <c r="B159" s="31" t="s">
        <v>166</v>
      </c>
      <c r="C159" s="16">
        <v>20000000</v>
      </c>
      <c r="D159" s="11"/>
      <c r="E159" s="11"/>
      <c r="F159" s="12"/>
      <c r="G159" s="16">
        <v>20700000</v>
      </c>
      <c r="H159" s="11"/>
      <c r="I159" s="11"/>
      <c r="J159" s="12"/>
      <c r="K159" s="10">
        <v>21424500</v>
      </c>
      <c r="L159" s="11"/>
      <c r="M159" s="11"/>
      <c r="N159" s="12"/>
      <c r="O159" s="10">
        <v>22174358</v>
      </c>
      <c r="P159" s="11"/>
      <c r="Q159" s="11"/>
      <c r="R159" s="269"/>
      <c r="S159" s="294">
        <f t="shared" si="10"/>
        <v>84298858</v>
      </c>
      <c r="T159" s="436"/>
    </row>
    <row r="160" spans="1:20" ht="26.25" thickBot="1">
      <c r="A160" s="255" t="s">
        <v>377</v>
      </c>
      <c r="B160" s="164" t="s">
        <v>337</v>
      </c>
      <c r="C160" s="165">
        <v>2000000</v>
      </c>
      <c r="D160" s="166">
        <v>35000000</v>
      </c>
      <c r="E160" s="166"/>
      <c r="F160" s="167"/>
      <c r="G160" s="203">
        <v>2070000</v>
      </c>
      <c r="H160" s="204">
        <v>36225000</v>
      </c>
      <c r="I160" s="204"/>
      <c r="J160" s="224"/>
      <c r="K160" s="223">
        <v>2142450</v>
      </c>
      <c r="L160" s="205">
        <v>37492875</v>
      </c>
      <c r="M160" s="166"/>
      <c r="N160" s="167"/>
      <c r="O160" s="168">
        <v>2217436</v>
      </c>
      <c r="P160" s="166">
        <v>38805126</v>
      </c>
      <c r="Q160" s="166"/>
      <c r="R160" s="270"/>
      <c r="S160" s="294">
        <f t="shared" si="10"/>
        <v>155952887</v>
      </c>
      <c r="T160" s="436"/>
    </row>
    <row r="161" spans="1:20" ht="16.5" thickBot="1">
      <c r="A161" s="564" t="s">
        <v>280</v>
      </c>
      <c r="B161" s="565"/>
      <c r="C161" s="226">
        <f>+C144+C145+C147+C148+C150+C152+C153+C154+C155+C156+C157+C158+C159+C160</f>
        <v>883946665</v>
      </c>
      <c r="D161" s="227">
        <f>+D144+D145+D147+D148+D150+D152+D153+D154+D155+D156+D157+D158+D159+D160</f>
        <v>35000000</v>
      </c>
      <c r="E161" s="227">
        <f>+E144+E145+E147+E148+E150+E152+E153+E154+E155+E156+E157+E158+E159+E160</f>
        <v>675032179</v>
      </c>
      <c r="F161" s="228">
        <f>+F144+F145+F147+F148+F150+F152+F153+F154+F155+F156+F157+F158+F159+F160</f>
        <v>0</v>
      </c>
      <c r="G161" s="226">
        <f>+G144+G145+G147+G148+G150+G152+G153+G154+G155+G156+G157+G158+G159+G160</f>
        <v>726547298</v>
      </c>
      <c r="H161" s="229">
        <f aca="true" t="shared" si="11" ref="H161:R161">+H144+H145+H147+H148+H150+H152+H153+H154+H155+H156+H157+H158+H159+H160</f>
        <v>36225000</v>
      </c>
      <c r="I161" s="229">
        <f t="shared" si="11"/>
        <v>0</v>
      </c>
      <c r="J161" s="233">
        <f t="shared" si="11"/>
        <v>0</v>
      </c>
      <c r="K161" s="234">
        <f>+K144+K145+K147+K148+K150+K152+K153+K154+K155+K156+K157+K158+K159+K160</f>
        <v>751976454</v>
      </c>
      <c r="L161" s="229">
        <f t="shared" si="11"/>
        <v>37492875</v>
      </c>
      <c r="M161" s="229">
        <f t="shared" si="11"/>
        <v>0</v>
      </c>
      <c r="N161" s="233">
        <f t="shared" si="11"/>
        <v>0</v>
      </c>
      <c r="O161" s="229">
        <f t="shared" si="11"/>
        <v>778295632</v>
      </c>
      <c r="P161" s="229">
        <f t="shared" si="11"/>
        <v>38805126</v>
      </c>
      <c r="Q161" s="229">
        <f t="shared" si="11"/>
        <v>0</v>
      </c>
      <c r="R161" s="258">
        <f t="shared" si="11"/>
        <v>0</v>
      </c>
      <c r="S161" s="539">
        <f>+S143+S146+S149+S151</f>
        <v>3963321229</v>
      </c>
      <c r="T161" s="540"/>
    </row>
    <row r="162" spans="1:20" ht="18" customHeight="1">
      <c r="A162" s="533" t="s">
        <v>232</v>
      </c>
      <c r="B162" s="534"/>
      <c r="C162" s="505" t="s">
        <v>81</v>
      </c>
      <c r="D162" s="506"/>
      <c r="E162" s="506"/>
      <c r="F162" s="506"/>
      <c r="G162" s="506"/>
      <c r="H162" s="506"/>
      <c r="I162" s="506"/>
      <c r="J162" s="506"/>
      <c r="K162" s="506"/>
      <c r="L162" s="506"/>
      <c r="M162" s="506"/>
      <c r="N162" s="506"/>
      <c r="O162" s="506"/>
      <c r="P162" s="506"/>
      <c r="Q162" s="506"/>
      <c r="R162" s="506"/>
      <c r="S162" s="299"/>
      <c r="T162" s="300"/>
    </row>
    <row r="163" spans="1:20" ht="18" customHeight="1" thickBot="1">
      <c r="A163" s="579"/>
      <c r="B163" s="580"/>
      <c r="C163" s="581" t="s">
        <v>456</v>
      </c>
      <c r="D163" s="582"/>
      <c r="E163" s="582"/>
      <c r="F163" s="582"/>
      <c r="G163" s="582"/>
      <c r="H163" s="582"/>
      <c r="I163" s="582"/>
      <c r="J163" s="582"/>
      <c r="K163" s="582"/>
      <c r="L163" s="582"/>
      <c r="M163" s="582"/>
      <c r="N163" s="582"/>
      <c r="O163" s="582"/>
      <c r="P163" s="582"/>
      <c r="Q163" s="582"/>
      <c r="R163" s="582"/>
      <c r="S163" s="303"/>
      <c r="T163" s="304"/>
    </row>
    <row r="164" spans="1:20" ht="16.5" thickBot="1">
      <c r="A164" s="466" t="s">
        <v>318</v>
      </c>
      <c r="B164" s="467"/>
      <c r="C164" s="468">
        <f>+C165+C168+C171+C174</f>
        <v>409462292</v>
      </c>
      <c r="D164" s="469"/>
      <c r="E164" s="469"/>
      <c r="F164" s="469"/>
      <c r="G164" s="468">
        <f>+G165+G168+G171+G174</f>
        <v>416793472</v>
      </c>
      <c r="H164" s="469"/>
      <c r="I164" s="469"/>
      <c r="J164" s="469"/>
      <c r="K164" s="468">
        <f>+K165+K168+K171+K174</f>
        <v>281845494</v>
      </c>
      <c r="L164" s="469"/>
      <c r="M164" s="469"/>
      <c r="N164" s="469"/>
      <c r="O164" s="468">
        <f>+O165+O168+O171+O174</f>
        <v>232234589</v>
      </c>
      <c r="P164" s="469"/>
      <c r="Q164" s="469"/>
      <c r="R164" s="469"/>
      <c r="S164" s="583">
        <f>SUM(C164:R164)</f>
        <v>1340335847</v>
      </c>
      <c r="T164" s="584"/>
    </row>
    <row r="165" spans="1:20" ht="27" customHeight="1" thickBot="1">
      <c r="A165" s="571" t="s">
        <v>233</v>
      </c>
      <c r="B165" s="572"/>
      <c r="C165" s="512">
        <f>SUM(C166:F167)</f>
        <v>94462292</v>
      </c>
      <c r="D165" s="513"/>
      <c r="E165" s="513"/>
      <c r="F165" s="514"/>
      <c r="G165" s="513">
        <f>SUM(G166:J167)</f>
        <v>97768472</v>
      </c>
      <c r="H165" s="513"/>
      <c r="I165" s="513"/>
      <c r="J165" s="514"/>
      <c r="K165" s="513">
        <f>SUM(K166:N167)</f>
        <v>101190369</v>
      </c>
      <c r="L165" s="513"/>
      <c r="M165" s="513"/>
      <c r="N165" s="514"/>
      <c r="O165" s="513">
        <f>SUM(O166:R167)</f>
        <v>104732032</v>
      </c>
      <c r="P165" s="513"/>
      <c r="Q165" s="513"/>
      <c r="R165" s="513"/>
      <c r="S165" s="523">
        <f>SUM(S166:S167)</f>
        <v>398153165</v>
      </c>
      <c r="T165" s="524"/>
    </row>
    <row r="166" spans="1:20" ht="51">
      <c r="A166" s="438" t="s">
        <v>336</v>
      </c>
      <c r="B166" s="35" t="s">
        <v>88</v>
      </c>
      <c r="C166" s="16">
        <v>4462292</v>
      </c>
      <c r="D166" s="11"/>
      <c r="E166" s="11"/>
      <c r="F166" s="12"/>
      <c r="G166" s="10">
        <v>4618472</v>
      </c>
      <c r="H166" s="11"/>
      <c r="I166" s="11"/>
      <c r="J166" s="12"/>
      <c r="K166" s="10">
        <v>4780119</v>
      </c>
      <c r="L166" s="11"/>
      <c r="M166" s="11"/>
      <c r="N166" s="12"/>
      <c r="O166" s="10">
        <v>4947423</v>
      </c>
      <c r="P166" s="11"/>
      <c r="Q166" s="11"/>
      <c r="R166" s="15"/>
      <c r="S166" s="294">
        <f>SUM(C166:R166)</f>
        <v>18808306</v>
      </c>
      <c r="T166" s="436" t="s">
        <v>389</v>
      </c>
    </row>
    <row r="167" spans="1:20" ht="29.25" customHeight="1" thickBot="1">
      <c r="A167" s="440"/>
      <c r="B167" s="225" t="s">
        <v>457</v>
      </c>
      <c r="C167" s="16">
        <f>90000000-D167</f>
        <v>47537708</v>
      </c>
      <c r="D167" s="11">
        <v>42462292</v>
      </c>
      <c r="E167" s="11"/>
      <c r="F167" s="12"/>
      <c r="G167" s="10">
        <v>49201528</v>
      </c>
      <c r="H167" s="11">
        <v>43948472</v>
      </c>
      <c r="I167" s="11"/>
      <c r="J167" s="12"/>
      <c r="K167" s="10">
        <v>50923581</v>
      </c>
      <c r="L167" s="11">
        <v>45486669</v>
      </c>
      <c r="M167" s="11"/>
      <c r="N167" s="12"/>
      <c r="O167" s="10">
        <v>52705907</v>
      </c>
      <c r="P167" s="11">
        <v>47078702</v>
      </c>
      <c r="Q167" s="11"/>
      <c r="R167" s="15"/>
      <c r="S167" s="294">
        <f>SUM(C167:R167)</f>
        <v>379344859</v>
      </c>
      <c r="T167" s="436"/>
    </row>
    <row r="168" spans="1:20" ht="27" customHeight="1" thickBot="1">
      <c r="A168" s="566" t="s">
        <v>234</v>
      </c>
      <c r="B168" s="567"/>
      <c r="C168" s="456">
        <f>SUM(C169:F170)</f>
        <v>50000000</v>
      </c>
      <c r="D168" s="457"/>
      <c r="E168" s="457"/>
      <c r="F168" s="458"/>
      <c r="G168" s="457">
        <f>SUM(G169:J170)</f>
        <v>51750000</v>
      </c>
      <c r="H168" s="457"/>
      <c r="I168" s="457"/>
      <c r="J168" s="458"/>
      <c r="K168" s="457">
        <f>SUM(K169:N170)</f>
        <v>53561250</v>
      </c>
      <c r="L168" s="457"/>
      <c r="M168" s="457"/>
      <c r="N168" s="458"/>
      <c r="O168" s="457">
        <f>SUM(O169:R170)</f>
        <v>55435894</v>
      </c>
      <c r="P168" s="457"/>
      <c r="Q168" s="457"/>
      <c r="R168" s="457"/>
      <c r="S168" s="523">
        <f>SUM(S169:S170)</f>
        <v>210747144</v>
      </c>
      <c r="T168" s="524"/>
    </row>
    <row r="169" spans="1:20" ht="25.5">
      <c r="A169" s="438" t="s">
        <v>336</v>
      </c>
      <c r="B169" s="35" t="s">
        <v>458</v>
      </c>
      <c r="C169" s="16">
        <v>10000000</v>
      </c>
      <c r="D169" s="11"/>
      <c r="E169" s="11"/>
      <c r="F169" s="12"/>
      <c r="G169" s="10">
        <v>10350000</v>
      </c>
      <c r="H169" s="11"/>
      <c r="I169" s="11"/>
      <c r="J169" s="12"/>
      <c r="K169" s="10">
        <v>10712250</v>
      </c>
      <c r="L169" s="11"/>
      <c r="M169" s="11"/>
      <c r="N169" s="12"/>
      <c r="O169" s="10">
        <v>11087179</v>
      </c>
      <c r="P169" s="11"/>
      <c r="Q169" s="11"/>
      <c r="R169" s="268"/>
      <c r="S169" s="294">
        <f>SUM(C169:R169)</f>
        <v>42149429</v>
      </c>
      <c r="T169" s="436" t="s">
        <v>389</v>
      </c>
    </row>
    <row r="170" spans="1:20" ht="32.25" customHeight="1" thickBot="1">
      <c r="A170" s="440"/>
      <c r="B170" s="32" t="s">
        <v>168</v>
      </c>
      <c r="C170" s="16">
        <v>40000000</v>
      </c>
      <c r="D170" s="11"/>
      <c r="E170" s="11"/>
      <c r="F170" s="12"/>
      <c r="G170" s="10">
        <v>41400000</v>
      </c>
      <c r="H170" s="11"/>
      <c r="I170" s="11"/>
      <c r="J170" s="12"/>
      <c r="K170" s="10">
        <v>42849000</v>
      </c>
      <c r="L170" s="11"/>
      <c r="M170" s="11"/>
      <c r="N170" s="12"/>
      <c r="O170" s="10">
        <v>44348715</v>
      </c>
      <c r="P170" s="11"/>
      <c r="Q170" s="11"/>
      <c r="R170" s="15"/>
      <c r="S170" s="294">
        <f>SUM(C170:R170)</f>
        <v>168597715</v>
      </c>
      <c r="T170" s="436"/>
    </row>
    <row r="171" spans="1:20" ht="27" customHeight="1" thickBot="1">
      <c r="A171" s="571" t="s">
        <v>235</v>
      </c>
      <c r="B171" s="572"/>
      <c r="C171" s="456">
        <f>SUM(C172:F173)</f>
        <v>25000000</v>
      </c>
      <c r="D171" s="457"/>
      <c r="E171" s="457"/>
      <c r="F171" s="458"/>
      <c r="G171" s="457">
        <f>SUM(G172:J173)</f>
        <v>25875000</v>
      </c>
      <c r="H171" s="457"/>
      <c r="I171" s="457"/>
      <c r="J171" s="458"/>
      <c r="K171" s="457">
        <f>SUM(K172:N173)</f>
        <v>26780625</v>
      </c>
      <c r="L171" s="457"/>
      <c r="M171" s="457"/>
      <c r="N171" s="458"/>
      <c r="O171" s="457">
        <f>SUM(O172:R173)</f>
        <v>27717947</v>
      </c>
      <c r="P171" s="457"/>
      <c r="Q171" s="457"/>
      <c r="R171" s="457"/>
      <c r="S171" s="523">
        <f>SUM(S172:S173)</f>
        <v>105373572</v>
      </c>
      <c r="T171" s="524"/>
    </row>
    <row r="172" spans="1:20" ht="29.25" customHeight="1">
      <c r="A172" s="438" t="s">
        <v>363</v>
      </c>
      <c r="B172" s="35" t="s">
        <v>89</v>
      </c>
      <c r="C172" s="16">
        <v>10000000</v>
      </c>
      <c r="D172" s="11"/>
      <c r="E172" s="11"/>
      <c r="F172" s="12"/>
      <c r="G172" s="10">
        <v>10350000</v>
      </c>
      <c r="H172" s="11"/>
      <c r="I172" s="11"/>
      <c r="J172" s="12"/>
      <c r="K172" s="10">
        <v>10712250</v>
      </c>
      <c r="L172" s="11"/>
      <c r="M172" s="11"/>
      <c r="N172" s="12"/>
      <c r="O172" s="10">
        <v>11087179</v>
      </c>
      <c r="P172" s="11"/>
      <c r="Q172" s="11"/>
      <c r="R172" s="268"/>
      <c r="S172" s="294">
        <f>SUM(C172:R172)</f>
        <v>42149429</v>
      </c>
      <c r="T172" s="436" t="s">
        <v>389</v>
      </c>
    </row>
    <row r="173" spans="1:20" ht="28.5" customHeight="1" thickBot="1">
      <c r="A173" s="440"/>
      <c r="B173" s="32" t="s">
        <v>90</v>
      </c>
      <c r="C173" s="16">
        <v>15000000</v>
      </c>
      <c r="D173" s="11"/>
      <c r="E173" s="11"/>
      <c r="F173" s="12"/>
      <c r="G173" s="10">
        <v>15525000</v>
      </c>
      <c r="H173" s="11"/>
      <c r="I173" s="11"/>
      <c r="J173" s="12"/>
      <c r="K173" s="10">
        <v>16068375</v>
      </c>
      <c r="L173" s="11"/>
      <c r="M173" s="11"/>
      <c r="N173" s="12"/>
      <c r="O173" s="10">
        <v>16630768</v>
      </c>
      <c r="P173" s="11"/>
      <c r="Q173" s="11"/>
      <c r="R173" s="15"/>
      <c r="S173" s="294">
        <f>SUM(C173:R173)</f>
        <v>63224143</v>
      </c>
      <c r="T173" s="436"/>
    </row>
    <row r="174" spans="1:20" ht="27" customHeight="1" thickBot="1">
      <c r="A174" s="587" t="s">
        <v>236</v>
      </c>
      <c r="B174" s="588"/>
      <c r="C174" s="456">
        <f>SUM(C175:F178)</f>
        <v>240000000</v>
      </c>
      <c r="D174" s="457"/>
      <c r="E174" s="457"/>
      <c r="F174" s="458"/>
      <c r="G174" s="457">
        <f>SUM(G175:J178)</f>
        <v>241400000</v>
      </c>
      <c r="H174" s="457"/>
      <c r="I174" s="457"/>
      <c r="J174" s="458"/>
      <c r="K174" s="457">
        <f>SUM(K175:N178)</f>
        <v>100313250</v>
      </c>
      <c r="L174" s="457"/>
      <c r="M174" s="457"/>
      <c r="N174" s="458"/>
      <c r="O174" s="457">
        <f>SUM(O175:R178)</f>
        <v>44348716</v>
      </c>
      <c r="P174" s="457"/>
      <c r="Q174" s="457"/>
      <c r="R174" s="457"/>
      <c r="S174" s="523">
        <f>SUM(S175:S178)</f>
        <v>626061966</v>
      </c>
      <c r="T174" s="524"/>
    </row>
    <row r="175" spans="1:20" ht="31.5" customHeight="1">
      <c r="A175" s="438" t="s">
        <v>336</v>
      </c>
      <c r="B175" s="35" t="s">
        <v>120</v>
      </c>
      <c r="C175" s="16">
        <v>200000000</v>
      </c>
      <c r="D175" s="11"/>
      <c r="E175" s="11"/>
      <c r="F175" s="12"/>
      <c r="G175" s="10">
        <v>100000000</v>
      </c>
      <c r="H175" s="11"/>
      <c r="I175" s="11"/>
      <c r="J175" s="12">
        <v>100000000</v>
      </c>
      <c r="K175" s="10"/>
      <c r="L175" s="11"/>
      <c r="M175" s="11"/>
      <c r="N175" s="12"/>
      <c r="O175" s="10"/>
      <c r="P175" s="11"/>
      <c r="Q175" s="11"/>
      <c r="R175" s="15"/>
      <c r="S175" s="294">
        <f>SUM(C175:R175)</f>
        <v>400000000</v>
      </c>
      <c r="T175" s="436" t="s">
        <v>390</v>
      </c>
    </row>
    <row r="176" spans="1:20" ht="40.5" customHeight="1">
      <c r="A176" s="439"/>
      <c r="B176" s="31" t="s">
        <v>134</v>
      </c>
      <c r="C176" s="16">
        <v>20000000</v>
      </c>
      <c r="D176" s="11"/>
      <c r="E176" s="11"/>
      <c r="F176" s="12"/>
      <c r="G176" s="10">
        <v>20700000</v>
      </c>
      <c r="H176" s="11"/>
      <c r="I176" s="11"/>
      <c r="J176" s="12"/>
      <c r="K176" s="10">
        <v>21424500</v>
      </c>
      <c r="L176" s="11"/>
      <c r="M176" s="11"/>
      <c r="N176" s="12"/>
      <c r="O176" s="10">
        <v>22174358</v>
      </c>
      <c r="P176" s="11"/>
      <c r="Q176" s="11"/>
      <c r="R176" s="15"/>
      <c r="S176" s="294">
        <f>SUM(C176:R176)</f>
        <v>84298858</v>
      </c>
      <c r="T176" s="436"/>
    </row>
    <row r="177" spans="1:20" ht="29.25" customHeight="1">
      <c r="A177" s="439"/>
      <c r="B177" s="31" t="s">
        <v>169</v>
      </c>
      <c r="C177" s="16">
        <v>20000000</v>
      </c>
      <c r="D177" s="11"/>
      <c r="E177" s="11"/>
      <c r="F177" s="12"/>
      <c r="G177" s="10">
        <v>20700000</v>
      </c>
      <c r="H177" s="11"/>
      <c r="I177" s="11"/>
      <c r="J177" s="12"/>
      <c r="K177" s="10">
        <v>21424500</v>
      </c>
      <c r="L177" s="11"/>
      <c r="M177" s="11"/>
      <c r="N177" s="12"/>
      <c r="O177" s="10">
        <v>22174358</v>
      </c>
      <c r="P177" s="11"/>
      <c r="Q177" s="11"/>
      <c r="R177" s="15"/>
      <c r="S177" s="294">
        <f>SUM(C177:R177)</f>
        <v>84298858</v>
      </c>
      <c r="T177" s="436"/>
    </row>
    <row r="178" spans="1:20" ht="28.5" customHeight="1" thickBot="1">
      <c r="A178" s="440"/>
      <c r="B178" s="148" t="s">
        <v>121</v>
      </c>
      <c r="C178" s="45"/>
      <c r="D178" s="13"/>
      <c r="E178" s="13"/>
      <c r="F178" s="14"/>
      <c r="G178" s="43"/>
      <c r="H178" s="13"/>
      <c r="I178" s="13"/>
      <c r="J178" s="14"/>
      <c r="K178" s="213">
        <v>27464250</v>
      </c>
      <c r="L178" s="214"/>
      <c r="M178" s="214"/>
      <c r="N178" s="215">
        <v>30000000</v>
      </c>
      <c r="O178" s="43"/>
      <c r="P178" s="13"/>
      <c r="Q178" s="13"/>
      <c r="R178" s="271"/>
      <c r="S178" s="294">
        <f>SUM(C178:R178)</f>
        <v>57464250</v>
      </c>
      <c r="T178" s="436"/>
    </row>
    <row r="179" spans="1:20" ht="16.5" thickBot="1">
      <c r="A179" s="585" t="s">
        <v>280</v>
      </c>
      <c r="B179" s="586"/>
      <c r="C179" s="226">
        <f>+C166+C167+C169+C170+C172+C173+C175+C176+C177+C178</f>
        <v>367000000</v>
      </c>
      <c r="D179" s="227">
        <f>+D166+D167+D169+D170+D172+D173+D175+D176+D177+D178</f>
        <v>42462292</v>
      </c>
      <c r="E179" s="227">
        <f>+E166+E167+E169+E170+E172+E173+E175+E176+E177+E178</f>
        <v>0</v>
      </c>
      <c r="F179" s="228">
        <f>+F166+F167+F169+F170+F172+F173+F175+F176+F177+F178</f>
        <v>0</v>
      </c>
      <c r="G179" s="229">
        <f>+G166+G167+G169+G170+G172+G173+G175+G176+G177+G178</f>
        <v>272845000</v>
      </c>
      <c r="H179" s="229">
        <f aca="true" t="shared" si="12" ref="H179:R179">+H166+H167+H169+H170+H172+H173+H175+H176+H177+H178</f>
        <v>43948472</v>
      </c>
      <c r="I179" s="229">
        <f t="shared" si="12"/>
        <v>0</v>
      </c>
      <c r="J179" s="233">
        <f t="shared" si="12"/>
        <v>100000000</v>
      </c>
      <c r="K179" s="229">
        <f t="shared" si="12"/>
        <v>206358825</v>
      </c>
      <c r="L179" s="229">
        <f t="shared" si="12"/>
        <v>45486669</v>
      </c>
      <c r="M179" s="229">
        <f t="shared" si="12"/>
        <v>0</v>
      </c>
      <c r="N179" s="233">
        <f t="shared" si="12"/>
        <v>30000000</v>
      </c>
      <c r="O179" s="229">
        <f t="shared" si="12"/>
        <v>185155887</v>
      </c>
      <c r="P179" s="229">
        <f t="shared" si="12"/>
        <v>47078702</v>
      </c>
      <c r="Q179" s="229">
        <f t="shared" si="12"/>
        <v>0</v>
      </c>
      <c r="R179" s="258">
        <f t="shared" si="12"/>
        <v>0</v>
      </c>
      <c r="S179" s="539">
        <f>+S165+S168+S171+S174</f>
        <v>1340335847</v>
      </c>
      <c r="T179" s="540"/>
    </row>
    <row r="180" spans="1:20" ht="21" customHeight="1">
      <c r="A180" s="568"/>
      <c r="B180" s="569"/>
      <c r="C180" s="528">
        <v>2012</v>
      </c>
      <c r="D180" s="529"/>
      <c r="E180" s="529"/>
      <c r="F180" s="570"/>
      <c r="G180" s="528">
        <v>2013</v>
      </c>
      <c r="H180" s="529"/>
      <c r="I180" s="529"/>
      <c r="J180" s="570"/>
      <c r="K180" s="528">
        <v>2014</v>
      </c>
      <c r="L180" s="529"/>
      <c r="M180" s="529"/>
      <c r="N180" s="570"/>
      <c r="O180" s="528">
        <v>2015</v>
      </c>
      <c r="P180" s="529"/>
      <c r="Q180" s="529"/>
      <c r="R180" s="570"/>
      <c r="S180" s="691" t="s">
        <v>386</v>
      </c>
      <c r="T180" s="693" t="s">
        <v>403</v>
      </c>
    </row>
    <row r="181" spans="1:20" ht="25.5" customHeight="1" thickBot="1">
      <c r="A181" s="247" t="s">
        <v>0</v>
      </c>
      <c r="B181" s="248" t="s">
        <v>284</v>
      </c>
      <c r="C181" s="249" t="s">
        <v>1</v>
      </c>
      <c r="D181" s="250" t="s">
        <v>2</v>
      </c>
      <c r="E181" s="250" t="s">
        <v>3</v>
      </c>
      <c r="F181" s="251" t="s">
        <v>4</v>
      </c>
      <c r="G181" s="249" t="s">
        <v>1</v>
      </c>
      <c r="H181" s="250" t="s">
        <v>2</v>
      </c>
      <c r="I181" s="250" t="s">
        <v>3</v>
      </c>
      <c r="J181" s="251" t="s">
        <v>4</v>
      </c>
      <c r="K181" s="249" t="s">
        <v>1</v>
      </c>
      <c r="L181" s="250" t="s">
        <v>2</v>
      </c>
      <c r="M181" s="250" t="s">
        <v>3</v>
      </c>
      <c r="N181" s="251" t="s">
        <v>4</v>
      </c>
      <c r="O181" s="249" t="s">
        <v>1</v>
      </c>
      <c r="P181" s="250" t="s">
        <v>2</v>
      </c>
      <c r="Q181" s="250" t="s">
        <v>3</v>
      </c>
      <c r="R181" s="251" t="s">
        <v>4</v>
      </c>
      <c r="S181" s="692"/>
      <c r="T181" s="694"/>
    </row>
    <row r="182" spans="1:20" ht="12.75" customHeight="1">
      <c r="A182" s="481" t="s">
        <v>237</v>
      </c>
      <c r="B182" s="573"/>
      <c r="C182" s="505" t="s">
        <v>81</v>
      </c>
      <c r="D182" s="506"/>
      <c r="E182" s="506"/>
      <c r="F182" s="506"/>
      <c r="G182" s="506"/>
      <c r="H182" s="506"/>
      <c r="I182" s="506"/>
      <c r="J182" s="506"/>
      <c r="K182" s="506"/>
      <c r="L182" s="506"/>
      <c r="M182" s="506"/>
      <c r="N182" s="506"/>
      <c r="O182" s="506"/>
      <c r="P182" s="506"/>
      <c r="Q182" s="506"/>
      <c r="R182" s="506"/>
      <c r="T182" s="302"/>
    </row>
    <row r="183" spans="1:20" ht="12.75" customHeight="1">
      <c r="A183" s="574"/>
      <c r="B183" s="575"/>
      <c r="C183" s="508" t="s">
        <v>91</v>
      </c>
      <c r="D183" s="589"/>
      <c r="E183" s="589"/>
      <c r="F183" s="589"/>
      <c r="G183" s="589"/>
      <c r="H183" s="589"/>
      <c r="I183" s="589"/>
      <c r="J183" s="589"/>
      <c r="K183" s="589"/>
      <c r="L183" s="589"/>
      <c r="M183" s="589"/>
      <c r="N183" s="589"/>
      <c r="O183" s="589"/>
      <c r="P183" s="589"/>
      <c r="Q183" s="589"/>
      <c r="R183" s="589"/>
      <c r="T183" s="302"/>
    </row>
    <row r="184" spans="1:20" ht="12.75" customHeight="1">
      <c r="A184" s="574"/>
      <c r="B184" s="575"/>
      <c r="C184" s="508" t="s">
        <v>170</v>
      </c>
      <c r="D184" s="589"/>
      <c r="E184" s="589"/>
      <c r="F184" s="589"/>
      <c r="G184" s="589"/>
      <c r="H184" s="589"/>
      <c r="I184" s="589"/>
      <c r="J184" s="589"/>
      <c r="K184" s="589"/>
      <c r="L184" s="589"/>
      <c r="M184" s="589"/>
      <c r="N184" s="589"/>
      <c r="O184" s="589"/>
      <c r="P184" s="589"/>
      <c r="Q184" s="589"/>
      <c r="R184" s="589"/>
      <c r="T184" s="302"/>
    </row>
    <row r="185" spans="1:20" ht="12.75" customHeight="1">
      <c r="A185" s="574"/>
      <c r="B185" s="575"/>
      <c r="C185" s="508" t="s">
        <v>171</v>
      </c>
      <c r="D185" s="589"/>
      <c r="E185" s="589"/>
      <c r="F185" s="589"/>
      <c r="G185" s="589"/>
      <c r="H185" s="589"/>
      <c r="I185" s="589"/>
      <c r="J185" s="589"/>
      <c r="K185" s="589"/>
      <c r="L185" s="589"/>
      <c r="M185" s="589"/>
      <c r="N185" s="589"/>
      <c r="O185" s="589"/>
      <c r="P185" s="589"/>
      <c r="Q185" s="589"/>
      <c r="R185" s="589"/>
      <c r="T185" s="302"/>
    </row>
    <row r="186" spans="1:20" ht="12.75" customHeight="1">
      <c r="A186" s="574"/>
      <c r="B186" s="575"/>
      <c r="C186" s="508" t="s">
        <v>172</v>
      </c>
      <c r="D186" s="589"/>
      <c r="E186" s="589"/>
      <c r="F186" s="589"/>
      <c r="G186" s="589"/>
      <c r="H186" s="589"/>
      <c r="I186" s="589"/>
      <c r="J186" s="589"/>
      <c r="K186" s="589"/>
      <c r="L186" s="589"/>
      <c r="M186" s="589"/>
      <c r="N186" s="589"/>
      <c r="O186" s="589"/>
      <c r="P186" s="589"/>
      <c r="Q186" s="589"/>
      <c r="R186" s="589"/>
      <c r="T186" s="302"/>
    </row>
    <row r="187" spans="1:20" ht="12.75" customHeight="1" thickBot="1">
      <c r="A187" s="574"/>
      <c r="B187" s="575"/>
      <c r="C187" s="508" t="s">
        <v>173</v>
      </c>
      <c r="D187" s="589"/>
      <c r="E187" s="589"/>
      <c r="F187" s="589"/>
      <c r="G187" s="589"/>
      <c r="H187" s="589"/>
      <c r="I187" s="589"/>
      <c r="J187" s="589"/>
      <c r="K187" s="589"/>
      <c r="L187" s="589"/>
      <c r="M187" s="589"/>
      <c r="N187" s="589"/>
      <c r="O187" s="589"/>
      <c r="P187" s="589"/>
      <c r="Q187" s="589"/>
      <c r="R187" s="589"/>
      <c r="T187" s="304"/>
    </row>
    <row r="188" spans="1:20" ht="16.5" thickBot="1">
      <c r="A188" s="466" t="s">
        <v>319</v>
      </c>
      <c r="B188" s="467"/>
      <c r="C188" s="468">
        <f>+C189+C191+C197</f>
        <v>1282650858</v>
      </c>
      <c r="D188" s="469"/>
      <c r="E188" s="469"/>
      <c r="F188" s="469"/>
      <c r="G188" s="468">
        <f>+G189+G191+G197</f>
        <v>934738638</v>
      </c>
      <c r="H188" s="469"/>
      <c r="I188" s="469"/>
      <c r="J188" s="469"/>
      <c r="K188" s="468">
        <f>+K189+K191+K197</f>
        <v>967454490</v>
      </c>
      <c r="L188" s="469"/>
      <c r="M188" s="469"/>
      <c r="N188" s="469"/>
      <c r="O188" s="468">
        <f>+O189+O191+O197</f>
        <v>1001315373</v>
      </c>
      <c r="P188" s="469"/>
      <c r="Q188" s="469"/>
      <c r="R188" s="469"/>
      <c r="S188" s="583">
        <f>SUM(C188:R188)</f>
        <v>4186159359</v>
      </c>
      <c r="T188" s="584"/>
    </row>
    <row r="189" spans="1:20" ht="27" customHeight="1" thickBot="1">
      <c r="A189" s="510" t="s">
        <v>415</v>
      </c>
      <c r="B189" s="511"/>
      <c r="C189" s="512">
        <f>SUM(C190:F190)</f>
        <v>15000000</v>
      </c>
      <c r="D189" s="513"/>
      <c r="E189" s="513"/>
      <c r="F189" s="514"/>
      <c r="G189" s="513">
        <f>SUM(G190:J190)</f>
        <v>0</v>
      </c>
      <c r="H189" s="513"/>
      <c r="I189" s="513"/>
      <c r="J189" s="514"/>
      <c r="K189" s="513">
        <f>SUM(K190:N190)</f>
        <v>0</v>
      </c>
      <c r="L189" s="513"/>
      <c r="M189" s="513"/>
      <c r="N189" s="514"/>
      <c r="O189" s="513">
        <f>SUM(O190:R190)</f>
        <v>0</v>
      </c>
      <c r="P189" s="513"/>
      <c r="Q189" s="513"/>
      <c r="R189" s="513"/>
      <c r="S189" s="523">
        <f>SUM(S190)</f>
        <v>15000000</v>
      </c>
      <c r="T189" s="524"/>
    </row>
    <row r="190" spans="1:20" ht="27.75" customHeight="1" thickBot="1">
      <c r="A190" s="426" t="s">
        <v>381</v>
      </c>
      <c r="B190" s="307" t="s">
        <v>238</v>
      </c>
      <c r="C190" s="16">
        <v>15000000</v>
      </c>
      <c r="D190" s="11"/>
      <c r="E190" s="11"/>
      <c r="F190" s="12"/>
      <c r="G190" s="10"/>
      <c r="H190" s="11"/>
      <c r="I190" s="11"/>
      <c r="J190" s="12"/>
      <c r="K190" s="10"/>
      <c r="L190" s="11"/>
      <c r="M190" s="11"/>
      <c r="N190" s="12"/>
      <c r="O190" s="10"/>
      <c r="P190" s="11"/>
      <c r="Q190" s="11"/>
      <c r="R190" s="268"/>
      <c r="S190" s="294">
        <f>SUM(C190:R190)</f>
        <v>15000000</v>
      </c>
      <c r="T190" s="260" t="s">
        <v>391</v>
      </c>
    </row>
    <row r="191" spans="1:20" ht="27" customHeight="1" thickBot="1">
      <c r="A191" s="590" t="s">
        <v>416</v>
      </c>
      <c r="B191" s="591"/>
      <c r="C191" s="456">
        <f>SUM(C192:F196)</f>
        <v>757168964</v>
      </c>
      <c r="D191" s="457"/>
      <c r="E191" s="457"/>
      <c r="F191" s="458"/>
      <c r="G191" s="457">
        <f>SUM(G192:J196)</f>
        <v>676539878</v>
      </c>
      <c r="H191" s="457"/>
      <c r="I191" s="457"/>
      <c r="J191" s="458"/>
      <c r="K191" s="457">
        <f>SUM(K192:N196)</f>
        <v>700218773</v>
      </c>
      <c r="L191" s="457"/>
      <c r="M191" s="457"/>
      <c r="N191" s="458"/>
      <c r="O191" s="457">
        <f>SUM(O192:R196)</f>
        <v>724726431</v>
      </c>
      <c r="P191" s="457"/>
      <c r="Q191" s="457"/>
      <c r="R191" s="457"/>
      <c r="S191" s="523">
        <f>SUM(S192:S196)</f>
        <v>2858654046</v>
      </c>
      <c r="T191" s="524"/>
    </row>
    <row r="192" spans="1:20" ht="23.25" customHeight="1">
      <c r="A192" s="607" t="s">
        <v>379</v>
      </c>
      <c r="B192" s="193" t="s">
        <v>180</v>
      </c>
      <c r="C192" s="74">
        <v>5000000</v>
      </c>
      <c r="D192" s="75"/>
      <c r="E192" s="75"/>
      <c r="F192" s="76"/>
      <c r="G192" s="77">
        <v>5175000</v>
      </c>
      <c r="H192" s="75"/>
      <c r="I192" s="75"/>
      <c r="J192" s="76"/>
      <c r="K192" s="77">
        <v>5356125</v>
      </c>
      <c r="L192" s="75"/>
      <c r="M192" s="75"/>
      <c r="N192" s="76"/>
      <c r="O192" s="77">
        <v>5543589</v>
      </c>
      <c r="P192" s="75"/>
      <c r="Q192" s="75"/>
      <c r="R192" s="272"/>
      <c r="S192" s="294">
        <f>SUM(C192:R192)</f>
        <v>21074714</v>
      </c>
      <c r="T192" s="436" t="s">
        <v>391</v>
      </c>
    </row>
    <row r="193" spans="1:20" ht="15.75" customHeight="1">
      <c r="A193" s="608"/>
      <c r="B193" s="194" t="s">
        <v>179</v>
      </c>
      <c r="C193" s="74"/>
      <c r="D193" s="75">
        <f>300359784+313809180</f>
        <v>614168964</v>
      </c>
      <c r="E193" s="75"/>
      <c r="F193" s="76"/>
      <c r="G193" s="77"/>
      <c r="H193" s="75">
        <v>635664878</v>
      </c>
      <c r="I193" s="75"/>
      <c r="J193" s="76"/>
      <c r="K193" s="77"/>
      <c r="L193" s="75">
        <v>657913148</v>
      </c>
      <c r="M193" s="75"/>
      <c r="N193" s="76"/>
      <c r="O193" s="77"/>
      <c r="P193" s="75">
        <v>680940109</v>
      </c>
      <c r="Q193" s="75"/>
      <c r="R193" s="272"/>
      <c r="S193" s="294">
        <f>SUM(C193:R193)</f>
        <v>2588687099</v>
      </c>
      <c r="T193" s="436"/>
    </row>
    <row r="194" spans="1:20" ht="35.25" customHeight="1">
      <c r="A194" s="608"/>
      <c r="B194" s="31" t="s">
        <v>174</v>
      </c>
      <c r="C194" s="16">
        <v>20000000</v>
      </c>
      <c r="D194" s="11"/>
      <c r="E194" s="11"/>
      <c r="F194" s="12"/>
      <c r="G194" s="10">
        <v>20700000</v>
      </c>
      <c r="H194" s="11"/>
      <c r="I194" s="11"/>
      <c r="J194" s="12"/>
      <c r="K194" s="10">
        <v>21424500</v>
      </c>
      <c r="L194" s="11"/>
      <c r="M194" s="11"/>
      <c r="N194" s="12"/>
      <c r="O194" s="10">
        <v>22174358</v>
      </c>
      <c r="P194" s="11"/>
      <c r="Q194" s="11"/>
      <c r="R194" s="268"/>
      <c r="S194" s="294">
        <f>SUM(C194:R194)</f>
        <v>84298858</v>
      </c>
      <c r="T194" s="436"/>
    </row>
    <row r="195" spans="1:20" ht="24" customHeight="1">
      <c r="A195" s="608"/>
      <c r="B195" s="31" t="s">
        <v>175</v>
      </c>
      <c r="C195" s="16">
        <v>18000000</v>
      </c>
      <c r="D195" s="11"/>
      <c r="E195" s="11"/>
      <c r="F195" s="12"/>
      <c r="G195" s="10">
        <v>15000000</v>
      </c>
      <c r="H195" s="11"/>
      <c r="I195" s="11"/>
      <c r="J195" s="12"/>
      <c r="K195" s="10">
        <v>15525000</v>
      </c>
      <c r="L195" s="11"/>
      <c r="M195" s="11"/>
      <c r="N195" s="12"/>
      <c r="O195" s="10">
        <v>16068375</v>
      </c>
      <c r="P195" s="11"/>
      <c r="Q195" s="11"/>
      <c r="R195" s="268"/>
      <c r="S195" s="294">
        <f>SUM(C195:R195)</f>
        <v>64593375</v>
      </c>
      <c r="T195" s="436"/>
    </row>
    <row r="196" spans="1:20" ht="26.25" thickBot="1">
      <c r="A196" s="608"/>
      <c r="B196" s="147" t="s">
        <v>177</v>
      </c>
      <c r="C196" s="51">
        <v>100000000</v>
      </c>
      <c r="D196" s="13"/>
      <c r="E196" s="13"/>
      <c r="F196" s="14"/>
      <c r="G196" s="43"/>
      <c r="H196" s="13"/>
      <c r="I196" s="13"/>
      <c r="J196" s="14"/>
      <c r="K196" s="43"/>
      <c r="L196" s="13"/>
      <c r="M196" s="13"/>
      <c r="N196" s="14"/>
      <c r="O196" s="43"/>
      <c r="P196" s="13"/>
      <c r="Q196" s="13"/>
      <c r="R196" s="273"/>
      <c r="S196" s="294">
        <f>SUM(C196:R196)</f>
        <v>100000000</v>
      </c>
      <c r="T196" s="436"/>
    </row>
    <row r="197" spans="1:20" ht="27" customHeight="1" thickBot="1">
      <c r="A197" s="566" t="s">
        <v>417</v>
      </c>
      <c r="B197" s="567"/>
      <c r="C197" s="456">
        <f>SUM(C198:F202)</f>
        <v>510481894</v>
      </c>
      <c r="D197" s="457"/>
      <c r="E197" s="457"/>
      <c r="F197" s="458"/>
      <c r="G197" s="457">
        <f>SUM(G198:J202)</f>
        <v>258198760</v>
      </c>
      <c r="H197" s="457"/>
      <c r="I197" s="457"/>
      <c r="J197" s="458"/>
      <c r="K197" s="457">
        <f>SUM(K198:N202)</f>
        <v>267235717</v>
      </c>
      <c r="L197" s="457"/>
      <c r="M197" s="457"/>
      <c r="N197" s="458"/>
      <c r="O197" s="457">
        <f>SUM(O198:R202)</f>
        <v>276588942</v>
      </c>
      <c r="P197" s="457"/>
      <c r="Q197" s="457"/>
      <c r="R197" s="457"/>
      <c r="S197" s="523">
        <f>SUM(S198:S202)</f>
        <v>1312505313</v>
      </c>
      <c r="T197" s="524"/>
    </row>
    <row r="198" spans="1:20" ht="28.5" customHeight="1">
      <c r="A198" s="592" t="s">
        <v>380</v>
      </c>
      <c r="B198" s="356" t="s">
        <v>92</v>
      </c>
      <c r="C198" s="10">
        <v>130000000</v>
      </c>
      <c r="D198" s="28"/>
      <c r="E198" s="11">
        <v>20000000</v>
      </c>
      <c r="F198" s="12"/>
      <c r="G198" s="10">
        <v>30000000</v>
      </c>
      <c r="H198" s="11"/>
      <c r="I198" s="11">
        <v>20700000</v>
      </c>
      <c r="J198" s="12"/>
      <c r="K198" s="10">
        <v>31050000</v>
      </c>
      <c r="L198" s="11"/>
      <c r="M198" s="11">
        <v>21424500</v>
      </c>
      <c r="N198" s="12"/>
      <c r="O198" s="10">
        <v>32136750</v>
      </c>
      <c r="P198" s="11"/>
      <c r="Q198" s="11">
        <v>22174358</v>
      </c>
      <c r="R198" s="15"/>
      <c r="S198" s="294">
        <f>SUM(C198:R198)</f>
        <v>307485608</v>
      </c>
      <c r="T198" s="436" t="s">
        <v>391</v>
      </c>
    </row>
    <row r="199" spans="1:20" ht="25.5">
      <c r="A199" s="593"/>
      <c r="B199" s="54" t="s">
        <v>459</v>
      </c>
      <c r="C199" s="10">
        <v>80000000</v>
      </c>
      <c r="D199" s="11"/>
      <c r="E199" s="11"/>
      <c r="F199" s="12"/>
      <c r="G199" s="10"/>
      <c r="H199" s="11"/>
      <c r="I199" s="11"/>
      <c r="J199" s="12"/>
      <c r="K199" s="10"/>
      <c r="L199" s="11"/>
      <c r="M199" s="11"/>
      <c r="N199" s="12"/>
      <c r="O199" s="10"/>
      <c r="P199" s="11"/>
      <c r="Q199" s="11"/>
      <c r="R199" s="269"/>
      <c r="S199" s="294">
        <f>SUM(C199:R199)</f>
        <v>80000000</v>
      </c>
      <c r="T199" s="436"/>
    </row>
    <row r="200" spans="1:20" ht="25.5">
      <c r="A200" s="593"/>
      <c r="B200" s="365" t="s">
        <v>176</v>
      </c>
      <c r="C200" s="38">
        <v>100000000</v>
      </c>
      <c r="D200" s="36"/>
      <c r="E200" s="36">
        <v>17864040</v>
      </c>
      <c r="F200" s="37"/>
      <c r="G200" s="38">
        <v>20700000</v>
      </c>
      <c r="H200" s="36"/>
      <c r="I200" s="36">
        <v>18489281</v>
      </c>
      <c r="J200" s="37"/>
      <c r="K200" s="38">
        <v>21424500</v>
      </c>
      <c r="L200" s="36"/>
      <c r="M200" s="36">
        <v>19136406</v>
      </c>
      <c r="N200" s="37"/>
      <c r="O200" s="38">
        <v>22174358</v>
      </c>
      <c r="P200" s="36"/>
      <c r="Q200" s="36">
        <v>19806180</v>
      </c>
      <c r="R200" s="269"/>
      <c r="S200" s="294">
        <f>SUM(C200:R200)</f>
        <v>239594765</v>
      </c>
      <c r="T200" s="436"/>
    </row>
    <row r="201" spans="1:20" ht="25.5">
      <c r="A201" s="593"/>
      <c r="B201" s="198" t="s">
        <v>178</v>
      </c>
      <c r="C201" s="80">
        <v>137000000</v>
      </c>
      <c r="D201" s="78"/>
      <c r="E201" s="78"/>
      <c r="F201" s="79"/>
      <c r="G201" s="403">
        <v>141795000</v>
      </c>
      <c r="H201" s="404"/>
      <c r="I201" s="404"/>
      <c r="J201" s="405"/>
      <c r="K201" s="406">
        <v>146757825</v>
      </c>
      <c r="L201" s="404"/>
      <c r="M201" s="404"/>
      <c r="N201" s="405"/>
      <c r="O201" s="406">
        <v>151894349</v>
      </c>
      <c r="P201" s="404"/>
      <c r="Q201" s="404"/>
      <c r="R201" s="407"/>
      <c r="S201" s="294">
        <f>SUM(C201:R201)</f>
        <v>577447174</v>
      </c>
      <c r="T201" s="436"/>
    </row>
    <row r="202" spans="1:20" ht="24" customHeight="1" thickBot="1">
      <c r="A202" s="594"/>
      <c r="B202" s="357" t="s">
        <v>460</v>
      </c>
      <c r="C202" s="43"/>
      <c r="D202" s="13">
        <v>25617854</v>
      </c>
      <c r="E202" s="13"/>
      <c r="F202" s="14"/>
      <c r="G202" s="197"/>
      <c r="H202" s="195">
        <v>26514479</v>
      </c>
      <c r="I202" s="195"/>
      <c r="J202" s="196"/>
      <c r="K202" s="197"/>
      <c r="L202" s="402">
        <v>27442486</v>
      </c>
      <c r="M202" s="195"/>
      <c r="N202" s="196"/>
      <c r="O202" s="197"/>
      <c r="P202" s="195">
        <v>28402947</v>
      </c>
      <c r="Q202" s="195"/>
      <c r="R202" s="274"/>
      <c r="S202" s="294">
        <f>SUM(C202:R202)</f>
        <v>107977766</v>
      </c>
      <c r="T202" s="436"/>
    </row>
    <row r="203" spans="1:20" ht="16.5" thickBot="1">
      <c r="A203" s="564" t="s">
        <v>280</v>
      </c>
      <c r="B203" s="565"/>
      <c r="C203" s="226">
        <f>+C190+C192+C193+C194+C195+C196+C198+C199+C200+C201+C202</f>
        <v>605000000</v>
      </c>
      <c r="D203" s="227">
        <f aca="true" t="shared" si="13" ref="D203:R203">+D190+D192+D193+D194+D195+D196+D198+D199+D200+D201+D202</f>
        <v>639786818</v>
      </c>
      <c r="E203" s="227">
        <f t="shared" si="13"/>
        <v>37864040</v>
      </c>
      <c r="F203" s="228">
        <f t="shared" si="13"/>
        <v>0</v>
      </c>
      <c r="G203" s="226">
        <f t="shared" si="13"/>
        <v>233370000</v>
      </c>
      <c r="H203" s="227">
        <f t="shared" si="13"/>
        <v>662179357</v>
      </c>
      <c r="I203" s="227">
        <f t="shared" si="13"/>
        <v>39189281</v>
      </c>
      <c r="J203" s="228">
        <f t="shared" si="13"/>
        <v>0</v>
      </c>
      <c r="K203" s="226">
        <f t="shared" si="13"/>
        <v>241537950</v>
      </c>
      <c r="L203" s="227">
        <f t="shared" si="13"/>
        <v>685355634</v>
      </c>
      <c r="M203" s="227">
        <f t="shared" si="13"/>
        <v>40560906</v>
      </c>
      <c r="N203" s="228">
        <f t="shared" si="13"/>
        <v>0</v>
      </c>
      <c r="O203" s="226">
        <f t="shared" si="13"/>
        <v>249991779</v>
      </c>
      <c r="P203" s="227">
        <f t="shared" si="13"/>
        <v>709343056</v>
      </c>
      <c r="Q203" s="227">
        <f t="shared" si="13"/>
        <v>41980538</v>
      </c>
      <c r="R203" s="228">
        <f t="shared" si="13"/>
        <v>0</v>
      </c>
      <c r="S203" s="662">
        <f>+S189+S191+S197</f>
        <v>4186159359</v>
      </c>
      <c r="T203" s="540"/>
    </row>
    <row r="204" spans="1:20" ht="12.75" customHeight="1">
      <c r="A204" s="595" t="s">
        <v>239</v>
      </c>
      <c r="B204" s="596"/>
      <c r="C204" s="601" t="s">
        <v>81</v>
      </c>
      <c r="D204" s="602"/>
      <c r="E204" s="602"/>
      <c r="F204" s="602"/>
      <c r="G204" s="602"/>
      <c r="H204" s="602"/>
      <c r="I204" s="602"/>
      <c r="J204" s="602"/>
      <c r="K204" s="602"/>
      <c r="L204" s="602"/>
      <c r="M204" s="602"/>
      <c r="N204" s="602"/>
      <c r="O204" s="602"/>
      <c r="P204" s="602"/>
      <c r="Q204" s="602"/>
      <c r="R204" s="602"/>
      <c r="S204" s="834"/>
      <c r="T204" s="835"/>
    </row>
    <row r="205" spans="1:20" ht="12.75" customHeight="1">
      <c r="A205" s="597"/>
      <c r="B205" s="598"/>
      <c r="C205" s="603" t="s">
        <v>461</v>
      </c>
      <c r="D205" s="604"/>
      <c r="E205" s="604"/>
      <c r="F205" s="604"/>
      <c r="G205" s="604"/>
      <c r="H205" s="604"/>
      <c r="I205" s="604"/>
      <c r="J205" s="604"/>
      <c r="K205" s="604"/>
      <c r="L205" s="604"/>
      <c r="M205" s="604"/>
      <c r="N205" s="604"/>
      <c r="O205" s="604"/>
      <c r="P205" s="604"/>
      <c r="Q205" s="604"/>
      <c r="R205" s="604"/>
      <c r="S205" s="836"/>
      <c r="T205" s="837"/>
    </row>
    <row r="206" spans="1:20" ht="12.75" customHeight="1" thickBot="1">
      <c r="A206" s="599"/>
      <c r="B206" s="600"/>
      <c r="C206" s="605" t="s">
        <v>135</v>
      </c>
      <c r="D206" s="606"/>
      <c r="E206" s="606"/>
      <c r="F206" s="606"/>
      <c r="G206" s="606"/>
      <c r="H206" s="606"/>
      <c r="I206" s="606"/>
      <c r="J206" s="606"/>
      <c r="K206" s="606"/>
      <c r="L206" s="606"/>
      <c r="M206" s="606"/>
      <c r="N206" s="606"/>
      <c r="O206" s="606"/>
      <c r="P206" s="606"/>
      <c r="Q206" s="606"/>
      <c r="R206" s="606"/>
      <c r="S206" s="838"/>
      <c r="T206" s="839"/>
    </row>
    <row r="207" spans="1:20" ht="16.5" thickBot="1">
      <c r="A207" s="466" t="s">
        <v>320</v>
      </c>
      <c r="B207" s="467"/>
      <c r="C207" s="468">
        <f>+C208</f>
        <v>395564490</v>
      </c>
      <c r="D207" s="469"/>
      <c r="E207" s="469"/>
      <c r="F207" s="469"/>
      <c r="G207" s="468">
        <f>+G208</f>
        <v>356259247</v>
      </c>
      <c r="H207" s="469"/>
      <c r="I207" s="469"/>
      <c r="J207" s="469"/>
      <c r="K207" s="468">
        <f>+K208</f>
        <v>518728321</v>
      </c>
      <c r="L207" s="469"/>
      <c r="M207" s="469"/>
      <c r="N207" s="469"/>
      <c r="O207" s="468">
        <f>+O208</f>
        <v>531633813</v>
      </c>
      <c r="P207" s="469"/>
      <c r="Q207" s="469"/>
      <c r="R207" s="469"/>
      <c r="S207" s="583">
        <f>SUM(C207:R207)</f>
        <v>1802185871</v>
      </c>
      <c r="T207" s="584"/>
    </row>
    <row r="208" spans="1:20" ht="27" customHeight="1" thickBot="1">
      <c r="A208" s="609" t="s">
        <v>240</v>
      </c>
      <c r="B208" s="610"/>
      <c r="C208" s="456">
        <f>SUM(C209:F212)</f>
        <v>395564490</v>
      </c>
      <c r="D208" s="457"/>
      <c r="E208" s="457"/>
      <c r="F208" s="458"/>
      <c r="G208" s="457">
        <f>SUM(G209:J212)</f>
        <v>356259247</v>
      </c>
      <c r="H208" s="457"/>
      <c r="I208" s="457"/>
      <c r="J208" s="458"/>
      <c r="K208" s="457">
        <f>SUM(K209:N212)</f>
        <v>518728321</v>
      </c>
      <c r="L208" s="457"/>
      <c r="M208" s="457"/>
      <c r="N208" s="458"/>
      <c r="O208" s="457">
        <f>SUM(O209:R212)</f>
        <v>531633813</v>
      </c>
      <c r="P208" s="457"/>
      <c r="Q208" s="457"/>
      <c r="R208" s="457"/>
      <c r="S208" s="523">
        <f>SUM(S209:S212)</f>
        <v>1802185871</v>
      </c>
      <c r="T208" s="524"/>
    </row>
    <row r="209" spans="1:20" ht="17.25" customHeight="1">
      <c r="A209" s="616" t="s">
        <v>381</v>
      </c>
      <c r="B209" s="58" t="s">
        <v>182</v>
      </c>
      <c r="C209" s="10"/>
      <c r="D209" s="11"/>
      <c r="E209" s="11"/>
      <c r="F209" s="12"/>
      <c r="G209" s="10"/>
      <c r="H209" s="11"/>
      <c r="I209" s="11"/>
      <c r="J209" s="12"/>
      <c r="K209" s="10">
        <v>50000000</v>
      </c>
      <c r="L209" s="11"/>
      <c r="M209" s="11">
        <v>50000000</v>
      </c>
      <c r="N209" s="12">
        <v>50000000</v>
      </c>
      <c r="O209" s="10">
        <v>50000000</v>
      </c>
      <c r="P209" s="11"/>
      <c r="Q209" s="11">
        <v>50000000</v>
      </c>
      <c r="R209" s="15">
        <v>50000000</v>
      </c>
      <c r="S209" s="294">
        <f>SUM(C209:R209)</f>
        <v>300000000</v>
      </c>
      <c r="T209" s="436" t="s">
        <v>391</v>
      </c>
    </row>
    <row r="210" spans="1:20" ht="25.5">
      <c r="A210" s="617"/>
      <c r="B210" s="366" t="s">
        <v>462</v>
      </c>
      <c r="C210" s="10">
        <v>90000000</v>
      </c>
      <c r="D210" s="11">
        <v>75000000</v>
      </c>
      <c r="E210" s="11"/>
      <c r="F210" s="12"/>
      <c r="G210" s="10">
        <v>40000000</v>
      </c>
      <c r="H210" s="11">
        <v>77625000</v>
      </c>
      <c r="I210" s="11"/>
      <c r="J210" s="12"/>
      <c r="K210" s="10">
        <v>41400000</v>
      </c>
      <c r="L210" s="11">
        <v>80341875</v>
      </c>
      <c r="M210" s="11"/>
      <c r="N210" s="12"/>
      <c r="O210" s="10">
        <v>42849000</v>
      </c>
      <c r="P210" s="11">
        <v>83153841</v>
      </c>
      <c r="Q210" s="11"/>
      <c r="R210" s="268"/>
      <c r="S210" s="294">
        <f>SUM(C210:R210)</f>
        <v>530369716</v>
      </c>
      <c r="T210" s="436"/>
    </row>
    <row r="211" spans="1:20" ht="25.5">
      <c r="A211" s="617"/>
      <c r="B211" s="147" t="s">
        <v>338</v>
      </c>
      <c r="C211" s="43">
        <v>60000000</v>
      </c>
      <c r="D211" s="13">
        <v>75000000</v>
      </c>
      <c r="E211" s="13"/>
      <c r="F211" s="14"/>
      <c r="G211" s="43">
        <v>62100000</v>
      </c>
      <c r="H211" s="13">
        <v>77625000</v>
      </c>
      <c r="I211" s="13"/>
      <c r="J211" s="14"/>
      <c r="K211" s="43">
        <v>64273500</v>
      </c>
      <c r="L211" s="13">
        <v>80341875</v>
      </c>
      <c r="M211" s="13"/>
      <c r="N211" s="14"/>
      <c r="O211" s="43">
        <v>66523073</v>
      </c>
      <c r="P211" s="13">
        <v>83153841</v>
      </c>
      <c r="Q211" s="13"/>
      <c r="R211" s="273"/>
      <c r="S211" s="294">
        <f>SUM(C211:R211)</f>
        <v>569017289</v>
      </c>
      <c r="T211" s="436"/>
    </row>
    <row r="212" spans="1:20" ht="13.5" customHeight="1" thickBot="1">
      <c r="A212" s="618"/>
      <c r="B212" s="62" t="s">
        <v>339</v>
      </c>
      <c r="C212" s="188">
        <v>95564490</v>
      </c>
      <c r="D212" s="186"/>
      <c r="E212" s="186"/>
      <c r="F212" s="189"/>
      <c r="G212" s="188">
        <v>98909247</v>
      </c>
      <c r="H212" s="186"/>
      <c r="I212" s="186"/>
      <c r="J212" s="187"/>
      <c r="K212" s="188">
        <v>102371071</v>
      </c>
      <c r="L212" s="186"/>
      <c r="M212" s="186"/>
      <c r="N212" s="187"/>
      <c r="O212" s="208">
        <v>105954058</v>
      </c>
      <c r="P212" s="186"/>
      <c r="Q212" s="186"/>
      <c r="R212" s="275"/>
      <c r="S212" s="294">
        <f>SUM(C212:R212)</f>
        <v>402798866</v>
      </c>
      <c r="T212" s="436"/>
    </row>
    <row r="213" spans="1:20" ht="16.5" thickBot="1">
      <c r="A213" s="564" t="s">
        <v>280</v>
      </c>
      <c r="B213" s="565"/>
      <c r="C213" s="226">
        <f aca="true" t="shared" si="14" ref="C213:R213">+C209+C210+C211+C212</f>
        <v>245564490</v>
      </c>
      <c r="D213" s="227">
        <f t="shared" si="14"/>
        <v>150000000</v>
      </c>
      <c r="E213" s="227">
        <f t="shared" si="14"/>
        <v>0</v>
      </c>
      <c r="F213" s="228">
        <f t="shared" si="14"/>
        <v>0</v>
      </c>
      <c r="G213" s="229">
        <f t="shared" si="14"/>
        <v>201009247</v>
      </c>
      <c r="H213" s="229">
        <f t="shared" si="14"/>
        <v>155250000</v>
      </c>
      <c r="I213" s="229">
        <f t="shared" si="14"/>
        <v>0</v>
      </c>
      <c r="J213" s="233">
        <f t="shared" si="14"/>
        <v>0</v>
      </c>
      <c r="K213" s="229">
        <f t="shared" si="14"/>
        <v>258044571</v>
      </c>
      <c r="L213" s="229">
        <f t="shared" si="14"/>
        <v>160683750</v>
      </c>
      <c r="M213" s="229">
        <f t="shared" si="14"/>
        <v>50000000</v>
      </c>
      <c r="N213" s="233">
        <f t="shared" si="14"/>
        <v>50000000</v>
      </c>
      <c r="O213" s="229">
        <f t="shared" si="14"/>
        <v>265326131</v>
      </c>
      <c r="P213" s="229">
        <f t="shared" si="14"/>
        <v>166307682</v>
      </c>
      <c r="Q213" s="229">
        <f t="shared" si="14"/>
        <v>50000000</v>
      </c>
      <c r="R213" s="258">
        <f t="shared" si="14"/>
        <v>50000000</v>
      </c>
      <c r="S213" s="539">
        <f>+S208</f>
        <v>1802185871</v>
      </c>
      <c r="T213" s="540"/>
    </row>
    <row r="214" spans="1:20" ht="39.75" customHeight="1" thickBot="1">
      <c r="A214" s="619" t="s">
        <v>285</v>
      </c>
      <c r="B214" s="619"/>
      <c r="C214" s="619"/>
      <c r="D214" s="619"/>
      <c r="E214" s="619"/>
      <c r="F214" s="619"/>
      <c r="G214" s="619"/>
      <c r="H214" s="619"/>
      <c r="I214" s="619"/>
      <c r="J214" s="619"/>
      <c r="K214" s="619"/>
      <c r="L214" s="619"/>
      <c r="M214" s="619"/>
      <c r="N214" s="619"/>
      <c r="O214" s="619"/>
      <c r="P214" s="619"/>
      <c r="Q214" s="619"/>
      <c r="R214" s="619"/>
      <c r="S214" s="305"/>
      <c r="T214" s="300"/>
    </row>
    <row r="215" spans="1:20" ht="12.75" customHeight="1">
      <c r="A215" s="620" t="s">
        <v>241</v>
      </c>
      <c r="B215" s="621"/>
      <c r="C215" s="505" t="s">
        <v>81</v>
      </c>
      <c r="D215" s="506"/>
      <c r="E215" s="506"/>
      <c r="F215" s="506"/>
      <c r="G215" s="506"/>
      <c r="H215" s="506"/>
      <c r="I215" s="506"/>
      <c r="J215" s="506"/>
      <c r="K215" s="506"/>
      <c r="L215" s="506"/>
      <c r="M215" s="506"/>
      <c r="N215" s="506"/>
      <c r="O215" s="506"/>
      <c r="P215" s="506"/>
      <c r="Q215" s="506"/>
      <c r="R215" s="506"/>
      <c r="T215" s="302"/>
    </row>
    <row r="216" spans="1:20" ht="12.75" customHeight="1">
      <c r="A216" s="622"/>
      <c r="B216" s="623"/>
      <c r="C216" s="626" t="s">
        <v>463</v>
      </c>
      <c r="D216" s="604"/>
      <c r="E216" s="604"/>
      <c r="F216" s="604"/>
      <c r="G216" s="604"/>
      <c r="H216" s="604"/>
      <c r="I216" s="604"/>
      <c r="J216" s="604"/>
      <c r="K216" s="604"/>
      <c r="L216" s="604"/>
      <c r="M216" s="604"/>
      <c r="N216" s="604"/>
      <c r="O216" s="604"/>
      <c r="P216" s="604"/>
      <c r="Q216" s="604"/>
      <c r="R216" s="604"/>
      <c r="T216" s="302"/>
    </row>
    <row r="217" spans="1:20" ht="12.75" customHeight="1">
      <c r="A217" s="622"/>
      <c r="B217" s="623"/>
      <c r="C217" s="626" t="s">
        <v>93</v>
      </c>
      <c r="D217" s="604"/>
      <c r="E217" s="604"/>
      <c r="F217" s="604"/>
      <c r="G217" s="604"/>
      <c r="H217" s="604"/>
      <c r="I217" s="604"/>
      <c r="J217" s="604"/>
      <c r="K217" s="604"/>
      <c r="L217" s="604"/>
      <c r="M217" s="604"/>
      <c r="N217" s="604"/>
      <c r="O217" s="604"/>
      <c r="P217" s="604"/>
      <c r="Q217" s="604"/>
      <c r="R217" s="604"/>
      <c r="T217" s="302"/>
    </row>
    <row r="218" spans="1:20" ht="12.75" customHeight="1">
      <c r="A218" s="622"/>
      <c r="B218" s="623"/>
      <c r="C218" s="626" t="s">
        <v>94</v>
      </c>
      <c r="D218" s="604"/>
      <c r="E218" s="604"/>
      <c r="F218" s="604"/>
      <c r="G218" s="604"/>
      <c r="H218" s="604"/>
      <c r="I218" s="604"/>
      <c r="J218" s="604"/>
      <c r="K218" s="604"/>
      <c r="L218" s="604"/>
      <c r="M218" s="604"/>
      <c r="N218" s="604"/>
      <c r="O218" s="604"/>
      <c r="P218" s="604"/>
      <c r="Q218" s="604"/>
      <c r="R218" s="604"/>
      <c r="T218" s="302"/>
    </row>
    <row r="219" spans="1:20" ht="12.75" customHeight="1" thickBot="1">
      <c r="A219" s="624"/>
      <c r="B219" s="625"/>
      <c r="C219" s="611" t="s">
        <v>95</v>
      </c>
      <c r="D219" s="577"/>
      <c r="E219" s="577"/>
      <c r="F219" s="577"/>
      <c r="G219" s="577"/>
      <c r="H219" s="577"/>
      <c r="I219" s="577"/>
      <c r="J219" s="577"/>
      <c r="K219" s="577"/>
      <c r="L219" s="577"/>
      <c r="M219" s="577"/>
      <c r="N219" s="577"/>
      <c r="O219" s="577"/>
      <c r="P219" s="577"/>
      <c r="Q219" s="577"/>
      <c r="R219" s="577"/>
      <c r="T219" s="304"/>
    </row>
    <row r="220" spans="1:20" ht="16.5" thickBot="1">
      <c r="A220" s="612" t="s">
        <v>321</v>
      </c>
      <c r="B220" s="613"/>
      <c r="C220" s="614">
        <f>+C221+C223+C232+C236</f>
        <v>583000000</v>
      </c>
      <c r="D220" s="615"/>
      <c r="E220" s="615"/>
      <c r="F220" s="615"/>
      <c r="G220" s="614">
        <f>+G221+G223+G232+G236</f>
        <v>1498055000</v>
      </c>
      <c r="H220" s="615"/>
      <c r="I220" s="615"/>
      <c r="J220" s="615"/>
      <c r="K220" s="614">
        <f>+K221+K223+K232+K236</f>
        <v>981631320</v>
      </c>
      <c r="L220" s="615"/>
      <c r="M220" s="615"/>
      <c r="N220" s="615"/>
      <c r="O220" s="614">
        <f>+O221+O223+O232+O236</f>
        <v>1853753469</v>
      </c>
      <c r="P220" s="615"/>
      <c r="Q220" s="615"/>
      <c r="R220" s="615"/>
      <c r="S220" s="845">
        <f>SUM(C220:R220)</f>
        <v>4916439789</v>
      </c>
      <c r="T220" s="846"/>
    </row>
    <row r="221" spans="1:20" ht="27" customHeight="1" thickBot="1">
      <c r="A221" s="633" t="s">
        <v>242</v>
      </c>
      <c r="B221" s="630"/>
      <c r="C221" s="631">
        <f>SUM(C222:F222)</f>
        <v>0</v>
      </c>
      <c r="D221" s="628"/>
      <c r="E221" s="628"/>
      <c r="F221" s="632"/>
      <c r="G221" s="628">
        <f>SUM(G222:J222)</f>
        <v>0</v>
      </c>
      <c r="H221" s="628"/>
      <c r="I221" s="628"/>
      <c r="J221" s="632"/>
      <c r="K221" s="628">
        <f>SUM(K222:N222)</f>
        <v>0</v>
      </c>
      <c r="L221" s="628"/>
      <c r="M221" s="628"/>
      <c r="N221" s="632"/>
      <c r="O221" s="628">
        <f>SUM(O222:R222)</f>
        <v>1120000000</v>
      </c>
      <c r="P221" s="628"/>
      <c r="Q221" s="628"/>
      <c r="R221" s="628"/>
      <c r="S221" s="830">
        <f>SUM(S222:S222)</f>
        <v>1120000000</v>
      </c>
      <c r="T221" s="831"/>
    </row>
    <row r="222" spans="1:20" ht="37.5" customHeight="1" thickBot="1">
      <c r="A222" s="219" t="s">
        <v>382</v>
      </c>
      <c r="B222" s="199" t="s">
        <v>464</v>
      </c>
      <c r="C222" s="16"/>
      <c r="D222" s="11"/>
      <c r="E222" s="11"/>
      <c r="F222" s="12"/>
      <c r="G222" s="10"/>
      <c r="H222" s="11"/>
      <c r="I222" s="11"/>
      <c r="J222" s="12"/>
      <c r="K222" s="10"/>
      <c r="L222" s="11"/>
      <c r="M222" s="11"/>
      <c r="N222" s="12"/>
      <c r="O222" s="10">
        <v>1120000000</v>
      </c>
      <c r="P222" s="11"/>
      <c r="Q222" s="11"/>
      <c r="R222" s="15"/>
      <c r="S222" s="294">
        <f>SUM(C222:R222)</f>
        <v>1120000000</v>
      </c>
      <c r="T222" s="260" t="s">
        <v>392</v>
      </c>
    </row>
    <row r="223" spans="1:20" ht="27" customHeight="1" thickBot="1">
      <c r="A223" s="629" t="s">
        <v>243</v>
      </c>
      <c r="B223" s="630"/>
      <c r="C223" s="631">
        <f>SUM(C224:F231)</f>
        <v>505000000</v>
      </c>
      <c r="D223" s="628"/>
      <c r="E223" s="628"/>
      <c r="F223" s="632"/>
      <c r="G223" s="628">
        <f>SUM(G224:J231)</f>
        <v>1399875000</v>
      </c>
      <c r="H223" s="628"/>
      <c r="I223" s="628"/>
      <c r="J223" s="632"/>
      <c r="K223" s="628">
        <f>SUM(K224:N231)</f>
        <v>880015020</v>
      </c>
      <c r="L223" s="628"/>
      <c r="M223" s="628"/>
      <c r="N223" s="632"/>
      <c r="O223" s="628">
        <f>SUM(O224:R231)</f>
        <v>631205099</v>
      </c>
      <c r="P223" s="628"/>
      <c r="Q223" s="628"/>
      <c r="R223" s="628"/>
      <c r="S223" s="830">
        <f>SUM(S224:S231)</f>
        <v>3416095119</v>
      </c>
      <c r="T223" s="831"/>
    </row>
    <row r="224" spans="1:20" ht="25.5">
      <c r="A224" s="438" t="s">
        <v>365</v>
      </c>
      <c r="B224" s="35" t="s">
        <v>136</v>
      </c>
      <c r="C224" s="39"/>
      <c r="D224" s="36"/>
      <c r="E224" s="36"/>
      <c r="F224" s="37"/>
      <c r="G224" s="38"/>
      <c r="H224" s="36"/>
      <c r="I224" s="36"/>
      <c r="J224" s="37"/>
      <c r="K224" s="38">
        <v>210000000</v>
      </c>
      <c r="L224" s="36"/>
      <c r="M224" s="36"/>
      <c r="N224" s="37"/>
      <c r="O224" s="38"/>
      <c r="P224" s="36"/>
      <c r="Q224" s="36"/>
      <c r="R224" s="268"/>
      <c r="S224" s="294">
        <f>SUM(C224:R224)</f>
        <v>210000000</v>
      </c>
      <c r="T224" s="436" t="s">
        <v>393</v>
      </c>
    </row>
    <row r="225" spans="1:20" ht="28.5" customHeight="1">
      <c r="A225" s="439"/>
      <c r="B225" s="31" t="s">
        <v>137</v>
      </c>
      <c r="C225" s="39">
        <v>80000000</v>
      </c>
      <c r="D225" s="36">
        <v>20000000</v>
      </c>
      <c r="E225" s="36"/>
      <c r="F225" s="37"/>
      <c r="G225" s="38">
        <v>210000000</v>
      </c>
      <c r="H225" s="36">
        <v>20700000</v>
      </c>
      <c r="I225" s="36"/>
      <c r="J225" s="37"/>
      <c r="K225" s="207">
        <v>14744395</v>
      </c>
      <c r="L225" s="36">
        <v>21424500</v>
      </c>
      <c r="M225" s="36"/>
      <c r="N225" s="37"/>
      <c r="O225" s="38">
        <v>10000000</v>
      </c>
      <c r="P225" s="36">
        <v>22174358</v>
      </c>
      <c r="Q225" s="36"/>
      <c r="R225" s="264"/>
      <c r="S225" s="294">
        <f aca="true" t="shared" si="15" ref="S225:S231">SUM(C225:R225)</f>
        <v>399043253</v>
      </c>
      <c r="T225" s="436"/>
    </row>
    <row r="226" spans="1:20" ht="25.5">
      <c r="A226" s="627"/>
      <c r="B226" s="31" t="s">
        <v>340</v>
      </c>
      <c r="C226" s="39">
        <v>100000000</v>
      </c>
      <c r="D226" s="36">
        <v>100000000</v>
      </c>
      <c r="E226" s="36"/>
      <c r="F226" s="37"/>
      <c r="G226" s="38">
        <v>103500000</v>
      </c>
      <c r="H226" s="36">
        <v>103500000</v>
      </c>
      <c r="I226" s="36"/>
      <c r="J226" s="37"/>
      <c r="K226" s="38">
        <v>107122500</v>
      </c>
      <c r="L226" s="38">
        <v>107122500</v>
      </c>
      <c r="M226" s="36"/>
      <c r="N226" s="37"/>
      <c r="O226" s="38">
        <v>110871788</v>
      </c>
      <c r="P226" s="38">
        <v>110871788</v>
      </c>
      <c r="Q226" s="36"/>
      <c r="R226" s="264"/>
      <c r="S226" s="294">
        <f t="shared" si="15"/>
        <v>842988576</v>
      </c>
      <c r="T226" s="436"/>
    </row>
    <row r="227" spans="1:20" ht="23.25" customHeight="1">
      <c r="A227" s="553" t="s">
        <v>27</v>
      </c>
      <c r="B227" s="31" t="s">
        <v>491</v>
      </c>
      <c r="C227" s="39"/>
      <c r="D227" s="36"/>
      <c r="E227" s="36"/>
      <c r="F227" s="37"/>
      <c r="G227" s="38">
        <v>50000000</v>
      </c>
      <c r="H227" s="36"/>
      <c r="I227" s="36"/>
      <c r="J227" s="82">
        <v>450000000</v>
      </c>
      <c r="K227" s="38"/>
      <c r="L227" s="38"/>
      <c r="M227" s="36"/>
      <c r="N227" s="37"/>
      <c r="O227" s="38"/>
      <c r="P227" s="38"/>
      <c r="Q227" s="36"/>
      <c r="R227" s="264"/>
      <c r="S227" s="294">
        <f t="shared" si="15"/>
        <v>500000000</v>
      </c>
      <c r="T227" s="436" t="s">
        <v>394</v>
      </c>
    </row>
    <row r="228" spans="1:20" ht="38.25">
      <c r="A228" s="554"/>
      <c r="B228" s="31" t="s">
        <v>140</v>
      </c>
      <c r="C228" s="39">
        <v>25000000</v>
      </c>
      <c r="D228" s="36"/>
      <c r="E228" s="36"/>
      <c r="F228" s="37"/>
      <c r="G228" s="38">
        <v>25875000</v>
      </c>
      <c r="H228" s="36"/>
      <c r="I228" s="36"/>
      <c r="J228" s="37"/>
      <c r="K228" s="38">
        <v>26780625</v>
      </c>
      <c r="L228" s="36"/>
      <c r="M228" s="36"/>
      <c r="N228" s="37"/>
      <c r="O228" s="38">
        <v>27717947</v>
      </c>
      <c r="P228" s="36"/>
      <c r="Q228" s="36"/>
      <c r="R228" s="264"/>
      <c r="S228" s="294">
        <f t="shared" si="15"/>
        <v>105373572</v>
      </c>
      <c r="T228" s="436"/>
    </row>
    <row r="229" spans="1:20" ht="23.25" customHeight="1">
      <c r="A229" s="554"/>
      <c r="B229" s="31" t="s">
        <v>167</v>
      </c>
      <c r="C229" s="39">
        <v>180000000</v>
      </c>
      <c r="D229" s="36"/>
      <c r="E229" s="36"/>
      <c r="F229" s="37"/>
      <c r="G229" s="38">
        <v>186300000</v>
      </c>
      <c r="H229" s="36"/>
      <c r="I229" s="36"/>
      <c r="J229" s="37"/>
      <c r="K229" s="38">
        <v>192820500</v>
      </c>
      <c r="L229" s="36"/>
      <c r="M229" s="36"/>
      <c r="N229" s="37"/>
      <c r="O229" s="38">
        <v>199569218</v>
      </c>
      <c r="P229" s="36"/>
      <c r="Q229" s="36"/>
      <c r="R229" s="264"/>
      <c r="S229" s="294">
        <f t="shared" si="15"/>
        <v>758689718</v>
      </c>
      <c r="T229" s="436"/>
    </row>
    <row r="230" spans="1:20" ht="23.25" customHeight="1">
      <c r="A230" s="555"/>
      <c r="B230" s="148" t="s">
        <v>500</v>
      </c>
      <c r="C230" s="39"/>
      <c r="D230" s="36"/>
      <c r="E230" s="36"/>
      <c r="F230" s="37"/>
      <c r="G230" s="38">
        <v>50000000</v>
      </c>
      <c r="H230" s="36"/>
      <c r="I230" s="36"/>
      <c r="J230" s="37"/>
      <c r="K230" s="38"/>
      <c r="L230" s="36"/>
      <c r="M230" s="36"/>
      <c r="N230" s="37"/>
      <c r="O230" s="38"/>
      <c r="P230" s="36"/>
      <c r="Q230" s="36"/>
      <c r="R230" s="264"/>
      <c r="S230" s="294">
        <f t="shared" si="15"/>
        <v>50000000</v>
      </c>
      <c r="T230" s="436"/>
    </row>
    <row r="231" spans="1:20" ht="26.25" thickBot="1">
      <c r="A231" s="378" t="s">
        <v>365</v>
      </c>
      <c r="B231" s="32" t="s">
        <v>118</v>
      </c>
      <c r="C231" s="39"/>
      <c r="D231" s="36"/>
      <c r="E231" s="36"/>
      <c r="F231" s="37"/>
      <c r="G231" s="38">
        <v>200000000</v>
      </c>
      <c r="H231" s="36"/>
      <c r="I231" s="36"/>
      <c r="J231" s="37"/>
      <c r="K231" s="38">
        <v>200000000</v>
      </c>
      <c r="L231" s="36"/>
      <c r="M231" s="36"/>
      <c r="N231" s="37"/>
      <c r="O231" s="38">
        <v>150000000</v>
      </c>
      <c r="P231" s="36"/>
      <c r="Q231" s="36"/>
      <c r="R231" s="264"/>
      <c r="S231" s="294">
        <f t="shared" si="15"/>
        <v>550000000</v>
      </c>
      <c r="T231" s="436"/>
    </row>
    <row r="232" spans="1:20" ht="27" customHeight="1" thickBot="1">
      <c r="A232" s="629" t="s">
        <v>244</v>
      </c>
      <c r="B232" s="630"/>
      <c r="C232" s="631">
        <f>SUM(C233:F235)</f>
        <v>10000000</v>
      </c>
      <c r="D232" s="628"/>
      <c r="E232" s="628"/>
      <c r="F232" s="632"/>
      <c r="G232" s="628">
        <f>SUM(G233:J235)</f>
        <v>25350000</v>
      </c>
      <c r="H232" s="628"/>
      <c r="I232" s="628"/>
      <c r="J232" s="632"/>
      <c r="K232" s="628">
        <f>SUM(K233:N235)</f>
        <v>26237250</v>
      </c>
      <c r="L232" s="628"/>
      <c r="M232" s="628"/>
      <c r="N232" s="632"/>
      <c r="O232" s="628">
        <f>SUM(O233:R235)</f>
        <v>27155554</v>
      </c>
      <c r="P232" s="628"/>
      <c r="Q232" s="628"/>
      <c r="R232" s="628"/>
      <c r="S232" s="830">
        <f>SUM(S233:S235)</f>
        <v>88742804</v>
      </c>
      <c r="T232" s="831"/>
    </row>
    <row r="233" spans="1:20" ht="18.75" customHeight="1">
      <c r="A233" s="438" t="s">
        <v>335</v>
      </c>
      <c r="B233" s="35" t="s">
        <v>96</v>
      </c>
      <c r="C233" s="16">
        <v>10000000</v>
      </c>
      <c r="D233" s="11"/>
      <c r="E233" s="11"/>
      <c r="F233" s="12"/>
      <c r="G233" s="10">
        <v>10350000</v>
      </c>
      <c r="H233" s="11"/>
      <c r="I233" s="11"/>
      <c r="J233" s="12"/>
      <c r="K233" s="10">
        <v>10712250</v>
      </c>
      <c r="L233" s="11"/>
      <c r="M233" s="11"/>
      <c r="N233" s="12"/>
      <c r="O233" s="10">
        <v>11087179</v>
      </c>
      <c r="P233" s="11"/>
      <c r="Q233" s="11"/>
      <c r="R233" s="15"/>
      <c r="S233" s="294">
        <f>SUM(C233:R233)</f>
        <v>42149429</v>
      </c>
      <c r="T233" s="436" t="s">
        <v>389</v>
      </c>
    </row>
    <row r="234" spans="1:20" ht="25.5">
      <c r="A234" s="627"/>
      <c r="B234" s="31" t="s">
        <v>97</v>
      </c>
      <c r="C234" s="16"/>
      <c r="D234" s="11"/>
      <c r="E234" s="11"/>
      <c r="F234" s="12"/>
      <c r="G234" s="10">
        <v>5000000</v>
      </c>
      <c r="H234" s="11"/>
      <c r="I234" s="11"/>
      <c r="J234" s="12"/>
      <c r="K234" s="10">
        <v>5175000</v>
      </c>
      <c r="L234" s="11"/>
      <c r="M234" s="11"/>
      <c r="N234" s="12"/>
      <c r="O234" s="10">
        <v>5356125</v>
      </c>
      <c r="P234" s="11"/>
      <c r="Q234" s="11"/>
      <c r="R234" s="15"/>
      <c r="S234" s="294">
        <f>SUM(C234:R234)</f>
        <v>15531125</v>
      </c>
      <c r="T234" s="436"/>
    </row>
    <row r="235" spans="1:20" ht="26.25" thickBot="1">
      <c r="A235" s="379" t="s">
        <v>382</v>
      </c>
      <c r="B235" s="148" t="s">
        <v>98</v>
      </c>
      <c r="C235" s="16"/>
      <c r="D235" s="11"/>
      <c r="E235" s="11"/>
      <c r="F235" s="12"/>
      <c r="G235" s="10">
        <v>10000000</v>
      </c>
      <c r="H235" s="11"/>
      <c r="I235" s="11"/>
      <c r="J235" s="12"/>
      <c r="K235" s="10">
        <v>10350000</v>
      </c>
      <c r="L235" s="11"/>
      <c r="M235" s="11"/>
      <c r="N235" s="12"/>
      <c r="O235" s="10">
        <v>10712250</v>
      </c>
      <c r="P235" s="11"/>
      <c r="Q235" s="11"/>
      <c r="R235" s="269"/>
      <c r="S235" s="294">
        <f>SUM(C235:R235)</f>
        <v>31062250</v>
      </c>
      <c r="T235" s="436"/>
    </row>
    <row r="236" spans="1:20" ht="27" customHeight="1" thickBot="1">
      <c r="A236" s="638" t="s">
        <v>245</v>
      </c>
      <c r="B236" s="639"/>
      <c r="C236" s="631">
        <f>SUM(C237:F238)</f>
        <v>68000000</v>
      </c>
      <c r="D236" s="628"/>
      <c r="E236" s="628"/>
      <c r="F236" s="632"/>
      <c r="G236" s="628">
        <f>SUM(G237:J238)</f>
        <v>72830000</v>
      </c>
      <c r="H236" s="628"/>
      <c r="I236" s="628"/>
      <c r="J236" s="632"/>
      <c r="K236" s="628">
        <f>SUM(K237:N238)</f>
        <v>75379050</v>
      </c>
      <c r="L236" s="628"/>
      <c r="M236" s="628"/>
      <c r="N236" s="632"/>
      <c r="O236" s="628">
        <f>SUM(O237:R238)</f>
        <v>75392816</v>
      </c>
      <c r="P236" s="628"/>
      <c r="Q236" s="628"/>
      <c r="R236" s="628"/>
      <c r="S236" s="830">
        <f>SUM(S237:S238)</f>
        <v>291601866</v>
      </c>
      <c r="T236" s="831"/>
    </row>
    <row r="237" spans="1:20" ht="17.25" customHeight="1">
      <c r="A237" s="438" t="s">
        <v>382</v>
      </c>
      <c r="B237" s="35" t="s">
        <v>99</v>
      </c>
      <c r="C237" s="16">
        <v>65000000</v>
      </c>
      <c r="D237" s="11"/>
      <c r="E237" s="11"/>
      <c r="F237" s="12"/>
      <c r="G237" s="10">
        <v>69725000</v>
      </c>
      <c r="H237" s="11"/>
      <c r="I237" s="11"/>
      <c r="J237" s="12"/>
      <c r="K237" s="10">
        <v>72165375</v>
      </c>
      <c r="L237" s="11"/>
      <c r="M237" s="11"/>
      <c r="N237" s="12"/>
      <c r="O237" s="10">
        <v>72066662</v>
      </c>
      <c r="P237" s="11"/>
      <c r="Q237" s="11"/>
      <c r="R237" s="268"/>
      <c r="S237" s="294">
        <f>SUM(C237:R237)</f>
        <v>278957037</v>
      </c>
      <c r="T237" s="436" t="s">
        <v>396</v>
      </c>
    </row>
    <row r="238" spans="1:20" ht="26.25" thickBot="1">
      <c r="A238" s="440"/>
      <c r="B238" s="32" t="s">
        <v>100</v>
      </c>
      <c r="C238" s="45">
        <v>3000000</v>
      </c>
      <c r="D238" s="13"/>
      <c r="E238" s="13"/>
      <c r="F238" s="14"/>
      <c r="G238" s="43">
        <v>3105000</v>
      </c>
      <c r="H238" s="13"/>
      <c r="I238" s="13"/>
      <c r="J238" s="14"/>
      <c r="K238" s="43">
        <v>3213675</v>
      </c>
      <c r="L238" s="13"/>
      <c r="M238" s="13"/>
      <c r="N238" s="14"/>
      <c r="O238" s="43">
        <v>3326154</v>
      </c>
      <c r="P238" s="13"/>
      <c r="Q238" s="13"/>
      <c r="R238" s="276"/>
      <c r="S238" s="294">
        <f>SUM(C238:R238)</f>
        <v>12644829</v>
      </c>
      <c r="T238" s="436"/>
    </row>
    <row r="239" spans="1:20" ht="16.5" thickBot="1">
      <c r="A239" s="564" t="s">
        <v>280</v>
      </c>
      <c r="B239" s="565"/>
      <c r="C239" s="226">
        <f>+SUM(C222)+SUM(C224:C231)+SUM(C233:C235)+SUM(C237:C238)</f>
        <v>463000000</v>
      </c>
      <c r="D239" s="227">
        <f aca="true" t="shared" si="16" ref="D239:R239">+SUM(D222)+SUM(D224:D231)+SUM(D233:D235)+SUM(D237:D238)</f>
        <v>120000000</v>
      </c>
      <c r="E239" s="227">
        <f t="shared" si="16"/>
        <v>0</v>
      </c>
      <c r="F239" s="228">
        <f t="shared" si="16"/>
        <v>0</v>
      </c>
      <c r="G239" s="226">
        <f>+SUM(G222)+SUM(G224:G231)+SUM(G233:G235)+SUM(G237:G238)</f>
        <v>923855000</v>
      </c>
      <c r="H239" s="227">
        <f t="shared" si="16"/>
        <v>124200000</v>
      </c>
      <c r="I239" s="227">
        <f t="shared" si="16"/>
        <v>0</v>
      </c>
      <c r="J239" s="228">
        <f t="shared" si="16"/>
        <v>450000000</v>
      </c>
      <c r="K239" s="226">
        <f t="shared" si="16"/>
        <v>853084320</v>
      </c>
      <c r="L239" s="227">
        <f t="shared" si="16"/>
        <v>128547000</v>
      </c>
      <c r="M239" s="227">
        <f t="shared" si="16"/>
        <v>0</v>
      </c>
      <c r="N239" s="228">
        <f t="shared" si="16"/>
        <v>0</v>
      </c>
      <c r="O239" s="226">
        <f t="shared" si="16"/>
        <v>1720707323</v>
      </c>
      <c r="P239" s="227">
        <f t="shared" si="16"/>
        <v>133046146</v>
      </c>
      <c r="Q239" s="227">
        <f t="shared" si="16"/>
        <v>0</v>
      </c>
      <c r="R239" s="228">
        <f t="shared" si="16"/>
        <v>0</v>
      </c>
      <c r="S239" s="662">
        <f>+S221+S223+S232+S236</f>
        <v>4916439789</v>
      </c>
      <c r="T239" s="540"/>
    </row>
    <row r="240" spans="1:20" ht="18.75" customHeight="1" thickBot="1">
      <c r="A240" s="568"/>
      <c r="B240" s="569"/>
      <c r="C240" s="476">
        <v>2012</v>
      </c>
      <c r="D240" s="477"/>
      <c r="E240" s="477"/>
      <c r="F240" s="478"/>
      <c r="G240" s="476">
        <v>2013</v>
      </c>
      <c r="H240" s="477"/>
      <c r="I240" s="477"/>
      <c r="J240" s="478"/>
      <c r="K240" s="476">
        <v>2014</v>
      </c>
      <c r="L240" s="477"/>
      <c r="M240" s="477"/>
      <c r="N240" s="478"/>
      <c r="O240" s="476">
        <v>2015</v>
      </c>
      <c r="P240" s="477"/>
      <c r="Q240" s="477"/>
      <c r="R240" s="478"/>
      <c r="S240" s="691" t="s">
        <v>386</v>
      </c>
      <c r="T240" s="693" t="s">
        <v>403</v>
      </c>
    </row>
    <row r="241" spans="1:20" ht="25.5" customHeight="1" thickBot="1">
      <c r="A241" s="247" t="s">
        <v>0</v>
      </c>
      <c r="B241" s="248" t="s">
        <v>284</v>
      </c>
      <c r="C241" s="427" t="s">
        <v>1</v>
      </c>
      <c r="D241" s="428" t="s">
        <v>2</v>
      </c>
      <c r="E241" s="428" t="s">
        <v>3</v>
      </c>
      <c r="F241" s="429" t="s">
        <v>4</v>
      </c>
      <c r="G241" s="427" t="s">
        <v>1</v>
      </c>
      <c r="H241" s="428" t="s">
        <v>2</v>
      </c>
      <c r="I241" s="428" t="s">
        <v>3</v>
      </c>
      <c r="J241" s="429" t="s">
        <v>4</v>
      </c>
      <c r="K241" s="427" t="s">
        <v>1</v>
      </c>
      <c r="L241" s="428" t="s">
        <v>2</v>
      </c>
      <c r="M241" s="428" t="s">
        <v>3</v>
      </c>
      <c r="N241" s="429" t="s">
        <v>4</v>
      </c>
      <c r="O241" s="427" t="s">
        <v>1</v>
      </c>
      <c r="P241" s="428" t="s">
        <v>2</v>
      </c>
      <c r="Q241" s="428" t="s">
        <v>3</v>
      </c>
      <c r="R241" s="429" t="s">
        <v>4</v>
      </c>
      <c r="S241" s="692"/>
      <c r="T241" s="694"/>
    </row>
    <row r="242" spans="1:20" ht="12.75" customHeight="1">
      <c r="A242" s="634" t="s">
        <v>246</v>
      </c>
      <c r="B242" s="635"/>
      <c r="C242" s="601" t="s">
        <v>81</v>
      </c>
      <c r="D242" s="507"/>
      <c r="E242" s="507"/>
      <c r="F242" s="507"/>
      <c r="G242" s="507"/>
      <c r="H242" s="507"/>
      <c r="I242" s="507"/>
      <c r="J242" s="507"/>
      <c r="K242" s="507"/>
      <c r="L242" s="507"/>
      <c r="M242" s="507"/>
      <c r="N242" s="507"/>
      <c r="O242" s="507"/>
      <c r="P242" s="507"/>
      <c r="Q242" s="507"/>
      <c r="R242" s="507"/>
      <c r="S242" s="146"/>
      <c r="T242" s="315"/>
    </row>
    <row r="243" spans="1:20" ht="12.75" customHeight="1">
      <c r="A243" s="636"/>
      <c r="B243" s="637"/>
      <c r="C243" s="508" t="s">
        <v>102</v>
      </c>
      <c r="D243" s="509"/>
      <c r="E243" s="509"/>
      <c r="F243" s="509"/>
      <c r="G243" s="509"/>
      <c r="H243" s="509"/>
      <c r="I243" s="509"/>
      <c r="J243" s="509"/>
      <c r="K243" s="509"/>
      <c r="L243" s="509"/>
      <c r="M243" s="509"/>
      <c r="N243" s="509"/>
      <c r="O243" s="509"/>
      <c r="P243" s="509"/>
      <c r="Q243" s="509"/>
      <c r="R243" s="509"/>
      <c r="S243" s="146"/>
      <c r="T243" s="315"/>
    </row>
    <row r="244" spans="1:20" ht="12.75" customHeight="1" thickBot="1">
      <c r="A244" s="636"/>
      <c r="B244" s="637"/>
      <c r="C244" s="508" t="s">
        <v>101</v>
      </c>
      <c r="D244" s="509"/>
      <c r="E244" s="509"/>
      <c r="F244" s="509"/>
      <c r="G244" s="509"/>
      <c r="H244" s="509"/>
      <c r="I244" s="509"/>
      <c r="J244" s="509"/>
      <c r="K244" s="509"/>
      <c r="L244" s="509"/>
      <c r="M244" s="509"/>
      <c r="N244" s="509"/>
      <c r="O244" s="509"/>
      <c r="P244" s="509"/>
      <c r="Q244" s="509"/>
      <c r="R244" s="509"/>
      <c r="S244" s="316"/>
      <c r="T244" s="317"/>
    </row>
    <row r="245" spans="1:20" ht="16.5" thickBot="1">
      <c r="A245" s="612" t="s">
        <v>322</v>
      </c>
      <c r="B245" s="613"/>
      <c r="C245" s="614">
        <f>+C246</f>
        <v>181500000</v>
      </c>
      <c r="D245" s="615"/>
      <c r="E245" s="615"/>
      <c r="F245" s="615"/>
      <c r="G245" s="614">
        <f>+G246</f>
        <v>270972500</v>
      </c>
      <c r="H245" s="615"/>
      <c r="I245" s="615"/>
      <c r="J245" s="615"/>
      <c r="K245" s="614">
        <f>+K246</f>
        <v>228706538</v>
      </c>
      <c r="L245" s="615"/>
      <c r="M245" s="615"/>
      <c r="N245" s="615"/>
      <c r="O245" s="614">
        <f>+O246</f>
        <v>236711267</v>
      </c>
      <c r="P245" s="615"/>
      <c r="Q245" s="615"/>
      <c r="R245" s="615"/>
      <c r="S245" s="845">
        <f>SUM(C245:R245)</f>
        <v>917890305</v>
      </c>
      <c r="T245" s="846"/>
    </row>
    <row r="246" spans="1:20" ht="27" customHeight="1" thickBot="1">
      <c r="A246" s="629" t="s">
        <v>247</v>
      </c>
      <c r="B246" s="630"/>
      <c r="C246" s="640">
        <f>SUM(C247:F255)</f>
        <v>181500000</v>
      </c>
      <c r="D246" s="641"/>
      <c r="E246" s="641"/>
      <c r="F246" s="642"/>
      <c r="G246" s="641">
        <f>SUM(G247:J255)</f>
        <v>270972500</v>
      </c>
      <c r="H246" s="641"/>
      <c r="I246" s="641"/>
      <c r="J246" s="642"/>
      <c r="K246" s="641">
        <f>SUM(K247:N255)</f>
        <v>228706538</v>
      </c>
      <c r="L246" s="641"/>
      <c r="M246" s="641"/>
      <c r="N246" s="642"/>
      <c r="O246" s="641">
        <f>SUM(O247:R255)</f>
        <v>236711267</v>
      </c>
      <c r="P246" s="641"/>
      <c r="Q246" s="641"/>
      <c r="R246" s="641"/>
      <c r="S246" s="830">
        <f>SUM(S247:S255)</f>
        <v>917890305</v>
      </c>
      <c r="T246" s="831"/>
    </row>
    <row r="247" spans="1:20" ht="51">
      <c r="A247" s="380" t="s">
        <v>382</v>
      </c>
      <c r="B247" s="58" t="s">
        <v>150</v>
      </c>
      <c r="C247" s="10">
        <v>30000000</v>
      </c>
      <c r="D247" s="11"/>
      <c r="E247" s="11"/>
      <c r="F247" s="12">
        <v>30000000</v>
      </c>
      <c r="G247" s="10">
        <v>31050000</v>
      </c>
      <c r="H247" s="10"/>
      <c r="I247" s="11"/>
      <c r="J247" s="12">
        <v>31050000</v>
      </c>
      <c r="K247" s="10">
        <v>32136750</v>
      </c>
      <c r="L247" s="11"/>
      <c r="M247" s="11"/>
      <c r="N247" s="12">
        <v>32136750</v>
      </c>
      <c r="O247" s="10">
        <v>33261536</v>
      </c>
      <c r="P247" s="11"/>
      <c r="Q247" s="11"/>
      <c r="R247" s="269">
        <v>33261536</v>
      </c>
      <c r="S247" s="294">
        <f aca="true" t="shared" si="17" ref="S247:S255">SUM(C247:R247)</f>
        <v>252896572</v>
      </c>
      <c r="T247" s="436" t="s">
        <v>396</v>
      </c>
    </row>
    <row r="248" spans="1:20" ht="25.5" customHeight="1">
      <c r="A248" s="847" t="s">
        <v>335</v>
      </c>
      <c r="B248" s="63" t="s">
        <v>151</v>
      </c>
      <c r="C248" s="10">
        <v>10000000</v>
      </c>
      <c r="D248" s="11"/>
      <c r="E248" s="11"/>
      <c r="F248" s="12"/>
      <c r="G248" s="10">
        <v>10350000</v>
      </c>
      <c r="H248" s="11"/>
      <c r="I248" s="11"/>
      <c r="J248" s="12"/>
      <c r="K248" s="10">
        <v>10712250</v>
      </c>
      <c r="L248" s="11"/>
      <c r="M248" s="11"/>
      <c r="N248" s="12"/>
      <c r="O248" s="10">
        <v>11087179</v>
      </c>
      <c r="P248" s="11"/>
      <c r="Q248" s="11"/>
      <c r="R248" s="269"/>
      <c r="S248" s="294">
        <f t="shared" si="17"/>
        <v>42149429</v>
      </c>
      <c r="T248" s="436"/>
    </row>
    <row r="249" spans="1:20" ht="24" customHeight="1">
      <c r="A249" s="439"/>
      <c r="B249" s="367" t="s">
        <v>492</v>
      </c>
      <c r="C249" s="10">
        <v>15000000</v>
      </c>
      <c r="D249" s="11"/>
      <c r="E249" s="11"/>
      <c r="F249" s="12"/>
      <c r="G249" s="10">
        <v>15525000</v>
      </c>
      <c r="H249" s="11"/>
      <c r="I249" s="11"/>
      <c r="J249" s="12"/>
      <c r="K249" s="10">
        <v>16068375</v>
      </c>
      <c r="L249" s="11"/>
      <c r="M249" s="11"/>
      <c r="N249" s="12"/>
      <c r="O249" s="10">
        <v>16630768</v>
      </c>
      <c r="P249" s="11"/>
      <c r="Q249" s="11"/>
      <c r="R249" s="269"/>
      <c r="S249" s="294">
        <f t="shared" si="17"/>
        <v>63224143</v>
      </c>
      <c r="T249" s="436"/>
    </row>
    <row r="250" spans="1:20" ht="24" customHeight="1">
      <c r="A250" s="439"/>
      <c r="B250" s="368" t="s">
        <v>161</v>
      </c>
      <c r="C250" s="10">
        <v>30000000</v>
      </c>
      <c r="D250" s="11"/>
      <c r="E250" s="11"/>
      <c r="F250" s="12"/>
      <c r="G250" s="10">
        <v>31050000</v>
      </c>
      <c r="H250" s="11"/>
      <c r="I250" s="11"/>
      <c r="J250" s="12"/>
      <c r="K250" s="10">
        <v>32136750</v>
      </c>
      <c r="L250" s="11"/>
      <c r="M250" s="11"/>
      <c r="N250" s="12"/>
      <c r="O250" s="10">
        <v>33261536</v>
      </c>
      <c r="P250" s="11"/>
      <c r="Q250" s="11"/>
      <c r="R250" s="269"/>
      <c r="S250" s="294">
        <f t="shared" si="17"/>
        <v>126448286</v>
      </c>
      <c r="T250" s="436"/>
    </row>
    <row r="251" spans="1:20" ht="37.5" customHeight="1">
      <c r="A251" s="627"/>
      <c r="B251" s="198" t="s">
        <v>465</v>
      </c>
      <c r="C251" s="10">
        <v>5000000</v>
      </c>
      <c r="D251" s="11"/>
      <c r="E251" s="11"/>
      <c r="F251" s="12"/>
      <c r="G251" s="10">
        <v>55175000</v>
      </c>
      <c r="H251" s="11"/>
      <c r="I251" s="11"/>
      <c r="J251" s="12"/>
      <c r="K251" s="10">
        <v>5356125</v>
      </c>
      <c r="L251" s="11"/>
      <c r="M251" s="11"/>
      <c r="N251" s="12"/>
      <c r="O251" s="10">
        <v>5543589</v>
      </c>
      <c r="P251" s="11"/>
      <c r="Q251" s="11"/>
      <c r="R251" s="269"/>
      <c r="S251" s="294">
        <f t="shared" si="17"/>
        <v>71074714</v>
      </c>
      <c r="T251" s="436"/>
    </row>
    <row r="252" spans="1:20" ht="23.25" customHeight="1">
      <c r="A252" s="439" t="s">
        <v>382</v>
      </c>
      <c r="B252" s="366" t="s">
        <v>103</v>
      </c>
      <c r="C252" s="10"/>
      <c r="D252" s="11"/>
      <c r="E252" s="11"/>
      <c r="F252" s="12"/>
      <c r="G252" s="10">
        <v>33120000</v>
      </c>
      <c r="H252" s="11"/>
      <c r="I252" s="11"/>
      <c r="J252" s="12"/>
      <c r="K252" s="10">
        <v>34279200</v>
      </c>
      <c r="L252" s="11"/>
      <c r="M252" s="11"/>
      <c r="N252" s="12"/>
      <c r="O252" s="10">
        <v>35478972</v>
      </c>
      <c r="P252" s="11"/>
      <c r="Q252" s="11"/>
      <c r="R252" s="268"/>
      <c r="S252" s="294">
        <f t="shared" si="17"/>
        <v>102878172</v>
      </c>
      <c r="T252" s="436"/>
    </row>
    <row r="253" spans="1:20" ht="24" customHeight="1">
      <c r="A253" s="439"/>
      <c r="B253" s="63" t="s">
        <v>104</v>
      </c>
      <c r="C253" s="10">
        <v>10000000</v>
      </c>
      <c r="D253" s="11"/>
      <c r="E253" s="11"/>
      <c r="F253" s="12"/>
      <c r="G253" s="10">
        <v>10350000</v>
      </c>
      <c r="H253" s="11"/>
      <c r="I253" s="11"/>
      <c r="J253" s="12"/>
      <c r="K253" s="10">
        <v>10712250</v>
      </c>
      <c r="L253" s="11"/>
      <c r="M253" s="11"/>
      <c r="N253" s="12"/>
      <c r="O253" s="10">
        <v>11087179</v>
      </c>
      <c r="P253" s="11"/>
      <c r="Q253" s="11"/>
      <c r="R253" s="268"/>
      <c r="S253" s="294">
        <f t="shared" si="17"/>
        <v>42149429</v>
      </c>
      <c r="T253" s="436"/>
    </row>
    <row r="254" spans="1:20" ht="13.5" customHeight="1">
      <c r="A254" s="439"/>
      <c r="B254" s="63" t="s">
        <v>162</v>
      </c>
      <c r="C254" s="10">
        <v>41500000</v>
      </c>
      <c r="D254" s="11"/>
      <c r="E254" s="11"/>
      <c r="F254" s="12"/>
      <c r="G254" s="10">
        <v>42952500</v>
      </c>
      <c r="H254" s="11"/>
      <c r="I254" s="11"/>
      <c r="J254" s="12"/>
      <c r="K254" s="10">
        <v>44455838</v>
      </c>
      <c r="L254" s="11"/>
      <c r="M254" s="11"/>
      <c r="N254" s="12"/>
      <c r="O254" s="10">
        <v>46011792</v>
      </c>
      <c r="P254" s="11"/>
      <c r="Q254" s="11"/>
      <c r="R254" s="268"/>
      <c r="S254" s="294">
        <f t="shared" si="17"/>
        <v>174920130</v>
      </c>
      <c r="T254" s="436"/>
    </row>
    <row r="255" spans="1:20" ht="12.75" customHeight="1" thickBot="1">
      <c r="A255" s="440"/>
      <c r="B255" s="62" t="s">
        <v>105</v>
      </c>
      <c r="C255" s="43">
        <v>10000000</v>
      </c>
      <c r="D255" s="13"/>
      <c r="E255" s="13"/>
      <c r="F255" s="14"/>
      <c r="G255" s="43">
        <v>10350000</v>
      </c>
      <c r="H255" s="13"/>
      <c r="I255" s="13"/>
      <c r="J255" s="14"/>
      <c r="K255" s="43">
        <v>10712250</v>
      </c>
      <c r="L255" s="13"/>
      <c r="M255" s="13"/>
      <c r="N255" s="14"/>
      <c r="O255" s="43">
        <v>11087180</v>
      </c>
      <c r="P255" s="13"/>
      <c r="Q255" s="13"/>
      <c r="R255" s="273"/>
      <c r="S255" s="294">
        <f t="shared" si="17"/>
        <v>42149430</v>
      </c>
      <c r="T255" s="436"/>
    </row>
    <row r="256" spans="1:20" ht="16.5" thickBot="1">
      <c r="A256" s="564" t="s">
        <v>280</v>
      </c>
      <c r="B256" s="565"/>
      <c r="C256" s="226">
        <f>SUM(C247:C255)</f>
        <v>151500000</v>
      </c>
      <c r="D256" s="227">
        <f>SUM(D247:D255)</f>
        <v>0</v>
      </c>
      <c r="E256" s="227">
        <f>SUM(E247:E255)</f>
        <v>0</v>
      </c>
      <c r="F256" s="228">
        <f>SUM(F247:F255)</f>
        <v>30000000</v>
      </c>
      <c r="G256" s="226">
        <f>SUM(G247:G255)</f>
        <v>239922500</v>
      </c>
      <c r="H256" s="229">
        <f aca="true" t="shared" si="18" ref="H256:R256">SUM(H247:H255)</f>
        <v>0</v>
      </c>
      <c r="I256" s="229">
        <f t="shared" si="18"/>
        <v>0</v>
      </c>
      <c r="J256" s="233">
        <f t="shared" si="18"/>
        <v>31050000</v>
      </c>
      <c r="K256" s="226">
        <f t="shared" si="18"/>
        <v>196569788</v>
      </c>
      <c r="L256" s="229">
        <f t="shared" si="18"/>
        <v>0</v>
      </c>
      <c r="M256" s="229">
        <f t="shared" si="18"/>
        <v>0</v>
      </c>
      <c r="N256" s="233">
        <f t="shared" si="18"/>
        <v>32136750</v>
      </c>
      <c r="O256" s="226">
        <f t="shared" si="18"/>
        <v>203449731</v>
      </c>
      <c r="P256" s="229">
        <f t="shared" si="18"/>
        <v>0</v>
      </c>
      <c r="Q256" s="229">
        <f t="shared" si="18"/>
        <v>0</v>
      </c>
      <c r="R256" s="258">
        <f t="shared" si="18"/>
        <v>33261536</v>
      </c>
      <c r="S256" s="539">
        <f>+S246</f>
        <v>917890305</v>
      </c>
      <c r="T256" s="540"/>
    </row>
    <row r="257" spans="1:20" ht="12.75" customHeight="1">
      <c r="A257" s="634" t="s">
        <v>248</v>
      </c>
      <c r="B257" s="635"/>
      <c r="C257" s="505" t="s">
        <v>81</v>
      </c>
      <c r="D257" s="506"/>
      <c r="E257" s="506"/>
      <c r="F257" s="506"/>
      <c r="G257" s="506"/>
      <c r="H257" s="506"/>
      <c r="I257" s="506"/>
      <c r="J257" s="506"/>
      <c r="K257" s="506"/>
      <c r="L257" s="506"/>
      <c r="M257" s="506"/>
      <c r="N257" s="506"/>
      <c r="O257" s="506"/>
      <c r="P257" s="506"/>
      <c r="Q257" s="506"/>
      <c r="R257" s="506"/>
      <c r="S257" s="299"/>
      <c r="T257" s="300"/>
    </row>
    <row r="258" spans="1:20" ht="12.75" customHeight="1">
      <c r="A258" s="636"/>
      <c r="B258" s="637"/>
      <c r="C258" s="508" t="s">
        <v>107</v>
      </c>
      <c r="D258" s="509"/>
      <c r="E258" s="509"/>
      <c r="F258" s="509"/>
      <c r="G258" s="509"/>
      <c r="H258" s="509"/>
      <c r="I258" s="509"/>
      <c r="J258" s="509"/>
      <c r="K258" s="509"/>
      <c r="L258" s="509"/>
      <c r="M258" s="509"/>
      <c r="N258" s="509"/>
      <c r="O258" s="509"/>
      <c r="P258" s="509"/>
      <c r="Q258" s="509"/>
      <c r="R258" s="509"/>
      <c r="S258" s="301"/>
      <c r="T258" s="302"/>
    </row>
    <row r="259" spans="1:20" ht="12.75" customHeight="1">
      <c r="A259" s="636"/>
      <c r="B259" s="637"/>
      <c r="C259" s="508" t="s">
        <v>108</v>
      </c>
      <c r="D259" s="509"/>
      <c r="E259" s="509"/>
      <c r="F259" s="509"/>
      <c r="G259" s="509"/>
      <c r="H259" s="509"/>
      <c r="I259" s="509"/>
      <c r="J259" s="509"/>
      <c r="K259" s="509"/>
      <c r="L259" s="509"/>
      <c r="M259" s="509"/>
      <c r="N259" s="509"/>
      <c r="O259" s="509"/>
      <c r="P259" s="509"/>
      <c r="Q259" s="509"/>
      <c r="R259" s="509"/>
      <c r="S259" s="301"/>
      <c r="T259" s="302"/>
    </row>
    <row r="260" spans="1:20" ht="12.75" customHeight="1" thickBot="1">
      <c r="A260" s="643"/>
      <c r="B260" s="644"/>
      <c r="C260" s="581" t="s">
        <v>106</v>
      </c>
      <c r="D260" s="582"/>
      <c r="E260" s="582"/>
      <c r="F260" s="582"/>
      <c r="G260" s="582"/>
      <c r="H260" s="582"/>
      <c r="I260" s="582"/>
      <c r="J260" s="582"/>
      <c r="K260" s="582"/>
      <c r="L260" s="582"/>
      <c r="M260" s="582"/>
      <c r="N260" s="582"/>
      <c r="O260" s="582"/>
      <c r="P260" s="582"/>
      <c r="Q260" s="582"/>
      <c r="R260" s="582"/>
      <c r="S260" s="303"/>
      <c r="T260" s="304"/>
    </row>
    <row r="261" spans="1:20" ht="16.5" thickBot="1">
      <c r="A261" s="612" t="s">
        <v>323</v>
      </c>
      <c r="B261" s="613"/>
      <c r="C261" s="614">
        <f>+C262+C266+C268+C275</f>
        <v>290000000</v>
      </c>
      <c r="D261" s="615"/>
      <c r="E261" s="615"/>
      <c r="F261" s="615"/>
      <c r="G261" s="614">
        <f>+G262+G266+G268+G275</f>
        <v>240050000</v>
      </c>
      <c r="H261" s="615"/>
      <c r="I261" s="615"/>
      <c r="J261" s="615"/>
      <c r="K261" s="614">
        <f>+K262+K266+K268+K275</f>
        <v>237739500</v>
      </c>
      <c r="L261" s="615"/>
      <c r="M261" s="615"/>
      <c r="N261" s="615"/>
      <c r="O261" s="614">
        <f>+O262+O266+O268+O275</f>
        <v>446060383</v>
      </c>
      <c r="P261" s="615"/>
      <c r="Q261" s="615"/>
      <c r="R261" s="615"/>
      <c r="S261" s="845">
        <f>SUM(C261:R261)</f>
        <v>1213849883</v>
      </c>
      <c r="T261" s="846"/>
    </row>
    <row r="262" spans="1:20" ht="27" customHeight="1" thickBot="1">
      <c r="A262" s="645" t="s">
        <v>249</v>
      </c>
      <c r="B262" s="647"/>
      <c r="C262" s="631">
        <f>SUM(C263:F265)</f>
        <v>50000000</v>
      </c>
      <c r="D262" s="628"/>
      <c r="E262" s="628"/>
      <c r="F262" s="632"/>
      <c r="G262" s="631">
        <f>SUM(G263:J265)</f>
        <v>51750000</v>
      </c>
      <c r="H262" s="628"/>
      <c r="I262" s="628"/>
      <c r="J262" s="632"/>
      <c r="K262" s="631">
        <f>SUM(K263:N265)</f>
        <v>53561250</v>
      </c>
      <c r="L262" s="628"/>
      <c r="M262" s="628"/>
      <c r="N262" s="632"/>
      <c r="O262" s="631">
        <f>SUM(O263:R265)</f>
        <v>255435893</v>
      </c>
      <c r="P262" s="628"/>
      <c r="Q262" s="628"/>
      <c r="R262" s="632"/>
      <c r="S262" s="850">
        <f>SUM(S263:S265)</f>
        <v>410747143</v>
      </c>
      <c r="T262" s="831"/>
    </row>
    <row r="263" spans="1:20" ht="25.5">
      <c r="A263" s="650" t="s">
        <v>383</v>
      </c>
      <c r="B263" s="58" t="s">
        <v>466</v>
      </c>
      <c r="C263" s="16">
        <v>45000000</v>
      </c>
      <c r="D263" s="11"/>
      <c r="E263" s="11"/>
      <c r="F263" s="12"/>
      <c r="G263" s="16">
        <v>46575000</v>
      </c>
      <c r="H263" s="11"/>
      <c r="I263" s="11"/>
      <c r="J263" s="12"/>
      <c r="K263" s="16">
        <v>48205125</v>
      </c>
      <c r="L263" s="11"/>
      <c r="M263" s="11"/>
      <c r="N263" s="15"/>
      <c r="O263" s="16">
        <v>49892304</v>
      </c>
      <c r="P263" s="11"/>
      <c r="Q263" s="11"/>
      <c r="R263" s="370"/>
      <c r="S263" s="408">
        <f>SUM(C263:R263)</f>
        <v>189672429</v>
      </c>
      <c r="T263" s="653" t="s">
        <v>396</v>
      </c>
    </row>
    <row r="264" spans="1:20" ht="12.75" customHeight="1">
      <c r="A264" s="651"/>
      <c r="B264" s="147" t="s">
        <v>467</v>
      </c>
      <c r="C264" s="45"/>
      <c r="D264" s="13"/>
      <c r="E264" s="13"/>
      <c r="F264" s="14"/>
      <c r="G264" s="45"/>
      <c r="H264" s="13"/>
      <c r="I264" s="13"/>
      <c r="J264" s="14"/>
      <c r="K264" s="45"/>
      <c r="L264" s="13"/>
      <c r="M264" s="13"/>
      <c r="N264" s="44"/>
      <c r="O264" s="45">
        <v>200000000</v>
      </c>
      <c r="P264" s="13"/>
      <c r="Q264" s="13"/>
      <c r="R264" s="14"/>
      <c r="S264" s="409">
        <f>SUM(C264:R264)</f>
        <v>200000000</v>
      </c>
      <c r="T264" s="653"/>
    </row>
    <row r="265" spans="1:20" ht="39" thickBot="1">
      <c r="A265" s="652"/>
      <c r="B265" s="374" t="s">
        <v>468</v>
      </c>
      <c r="C265" s="185">
        <v>5000000</v>
      </c>
      <c r="D265" s="186"/>
      <c r="E265" s="186"/>
      <c r="F265" s="187"/>
      <c r="G265" s="185">
        <v>5175000</v>
      </c>
      <c r="H265" s="186"/>
      <c r="I265" s="186"/>
      <c r="J265" s="187"/>
      <c r="K265" s="185">
        <v>5356125</v>
      </c>
      <c r="L265" s="186"/>
      <c r="M265" s="186"/>
      <c r="N265" s="364"/>
      <c r="O265" s="185">
        <v>5543589</v>
      </c>
      <c r="P265" s="186"/>
      <c r="Q265" s="186"/>
      <c r="R265" s="187"/>
      <c r="S265" s="410">
        <f>SUM(C265:R265)</f>
        <v>21074714</v>
      </c>
      <c r="T265" s="369"/>
    </row>
    <row r="266" spans="1:20" ht="27" customHeight="1" thickBot="1">
      <c r="A266" s="645" t="s">
        <v>250</v>
      </c>
      <c r="B266" s="646"/>
      <c r="C266" s="640">
        <f>SUM(C267:F267)</f>
        <v>40000000</v>
      </c>
      <c r="D266" s="641"/>
      <c r="E266" s="641"/>
      <c r="F266" s="642"/>
      <c r="G266" s="640">
        <f>SUM(G267:J267)</f>
        <v>41400000</v>
      </c>
      <c r="H266" s="641"/>
      <c r="I266" s="641"/>
      <c r="J266" s="642"/>
      <c r="K266" s="640">
        <f>SUM(K267:N267)</f>
        <v>42849000</v>
      </c>
      <c r="L266" s="641"/>
      <c r="M266" s="641"/>
      <c r="N266" s="642"/>
      <c r="O266" s="640">
        <f>SUM(O267:R267)</f>
        <v>44348716</v>
      </c>
      <c r="P266" s="641"/>
      <c r="Q266" s="641"/>
      <c r="R266" s="641"/>
      <c r="S266" s="830">
        <f>SUM(S267)</f>
        <v>168597716</v>
      </c>
      <c r="T266" s="831"/>
    </row>
    <row r="267" spans="1:20" ht="27" customHeight="1" thickBot="1">
      <c r="A267" s="371" t="s">
        <v>382</v>
      </c>
      <c r="B267" s="392" t="s">
        <v>469</v>
      </c>
      <c r="C267" s="237">
        <v>20000000</v>
      </c>
      <c r="D267" s="235"/>
      <c r="E267" s="235"/>
      <c r="F267" s="236">
        <v>20000000</v>
      </c>
      <c r="G267" s="237">
        <v>20700000</v>
      </c>
      <c r="H267" s="235"/>
      <c r="I267" s="235"/>
      <c r="J267" s="236">
        <v>20700000</v>
      </c>
      <c r="K267" s="237">
        <v>21424500</v>
      </c>
      <c r="L267" s="235"/>
      <c r="M267" s="235"/>
      <c r="N267" s="236">
        <v>21424500</v>
      </c>
      <c r="O267" s="237">
        <v>22174358</v>
      </c>
      <c r="P267" s="235"/>
      <c r="Q267" s="235"/>
      <c r="R267" s="277">
        <v>22174358</v>
      </c>
      <c r="S267" s="294">
        <f>SUM(C267:R267)</f>
        <v>168597716</v>
      </c>
      <c r="T267" s="260" t="s">
        <v>396</v>
      </c>
    </row>
    <row r="268" spans="1:20" ht="27" customHeight="1" thickBot="1">
      <c r="A268" s="648" t="s">
        <v>251</v>
      </c>
      <c r="B268" s="649"/>
      <c r="C268" s="631">
        <f>SUM(C269:F274)</f>
        <v>160000000</v>
      </c>
      <c r="D268" s="628"/>
      <c r="E268" s="628"/>
      <c r="F268" s="632"/>
      <c r="G268" s="628">
        <f>SUM(G269:J274)</f>
        <v>144900000</v>
      </c>
      <c r="H268" s="628"/>
      <c r="I268" s="628"/>
      <c r="J268" s="632"/>
      <c r="K268" s="628">
        <f>SUM(K269:N274)</f>
        <v>139259250</v>
      </c>
      <c r="L268" s="628"/>
      <c r="M268" s="628"/>
      <c r="N268" s="632"/>
      <c r="O268" s="628">
        <f>SUM(O269:R274)</f>
        <v>144133324</v>
      </c>
      <c r="P268" s="628"/>
      <c r="Q268" s="628"/>
      <c r="R268" s="628"/>
      <c r="S268" s="830">
        <f>SUM(S269:S274)</f>
        <v>588292574</v>
      </c>
      <c r="T268" s="831"/>
    </row>
    <row r="269" spans="1:20" ht="38.25">
      <c r="A269" s="380" t="s">
        <v>335</v>
      </c>
      <c r="B269" s="58" t="s">
        <v>470</v>
      </c>
      <c r="C269" s="10">
        <v>8000000</v>
      </c>
      <c r="D269" s="11"/>
      <c r="E269" s="11"/>
      <c r="F269" s="12"/>
      <c r="G269" s="10">
        <v>8280000</v>
      </c>
      <c r="H269" s="11"/>
      <c r="I269" s="11"/>
      <c r="J269" s="12"/>
      <c r="K269" s="10">
        <v>8569800</v>
      </c>
      <c r="L269" s="11"/>
      <c r="M269" s="11"/>
      <c r="N269" s="12"/>
      <c r="O269" s="10">
        <v>8869743</v>
      </c>
      <c r="P269" s="11"/>
      <c r="Q269" s="11"/>
      <c r="R269" s="15"/>
      <c r="S269" s="294">
        <f aca="true" t="shared" si="19" ref="S269:S274">SUM(C269:R269)</f>
        <v>33719543</v>
      </c>
      <c r="T269" s="436" t="s">
        <v>396</v>
      </c>
    </row>
    <row r="270" spans="1:20" ht="25.5">
      <c r="A270" s="381" t="s">
        <v>383</v>
      </c>
      <c r="B270" s="63" t="s">
        <v>109</v>
      </c>
      <c r="C270" s="10">
        <v>20000000</v>
      </c>
      <c r="D270" s="11"/>
      <c r="E270" s="11"/>
      <c r="F270" s="12"/>
      <c r="G270" s="10"/>
      <c r="H270" s="11"/>
      <c r="I270" s="11"/>
      <c r="J270" s="12"/>
      <c r="K270" s="10"/>
      <c r="L270" s="11"/>
      <c r="M270" s="11"/>
      <c r="N270" s="12"/>
      <c r="O270" s="10"/>
      <c r="P270" s="11"/>
      <c r="Q270" s="11"/>
      <c r="R270" s="268"/>
      <c r="S270" s="294">
        <f t="shared" si="19"/>
        <v>20000000</v>
      </c>
      <c r="T270" s="436"/>
    </row>
    <row r="271" spans="1:20" ht="38.25">
      <c r="A271" s="372" t="s">
        <v>346</v>
      </c>
      <c r="B271" s="63" t="s">
        <v>110</v>
      </c>
      <c r="C271" s="10"/>
      <c r="D271" s="11">
        <v>90000000</v>
      </c>
      <c r="E271" s="11"/>
      <c r="F271" s="12"/>
      <c r="G271" s="10"/>
      <c r="H271" s="11">
        <v>93150000</v>
      </c>
      <c r="I271" s="11"/>
      <c r="J271" s="12"/>
      <c r="K271" s="10"/>
      <c r="L271" s="11">
        <v>96410250</v>
      </c>
      <c r="M271" s="11"/>
      <c r="N271" s="12"/>
      <c r="O271" s="10"/>
      <c r="P271" s="11">
        <v>99784609</v>
      </c>
      <c r="Q271" s="11"/>
      <c r="R271" s="15"/>
      <c r="S271" s="294">
        <f t="shared" si="19"/>
        <v>379344859</v>
      </c>
      <c r="T271" s="436"/>
    </row>
    <row r="272" spans="1:20" ht="15">
      <c r="A272" s="382" t="s">
        <v>335</v>
      </c>
      <c r="B272" s="147" t="s">
        <v>111</v>
      </c>
      <c r="C272" s="16">
        <v>10000000</v>
      </c>
      <c r="D272" s="11"/>
      <c r="E272" s="11"/>
      <c r="F272" s="12"/>
      <c r="G272" s="10">
        <v>10350000</v>
      </c>
      <c r="H272" s="11"/>
      <c r="I272" s="11"/>
      <c r="J272" s="12"/>
      <c r="K272" s="10"/>
      <c r="L272" s="11"/>
      <c r="M272" s="11"/>
      <c r="N272" s="12"/>
      <c r="O272" s="10"/>
      <c r="P272" s="11"/>
      <c r="Q272" s="11"/>
      <c r="R272" s="15"/>
      <c r="S272" s="294">
        <f t="shared" si="19"/>
        <v>20350000</v>
      </c>
      <c r="T272" s="436"/>
    </row>
    <row r="273" spans="1:20" ht="25.5">
      <c r="A273" s="847" t="s">
        <v>383</v>
      </c>
      <c r="B273" s="54" t="s">
        <v>472</v>
      </c>
      <c r="C273" s="10">
        <v>2000000</v>
      </c>
      <c r="D273" s="11"/>
      <c r="E273" s="11"/>
      <c r="F273" s="12"/>
      <c r="G273" s="10">
        <v>2070000</v>
      </c>
      <c r="H273" s="11"/>
      <c r="I273" s="11"/>
      <c r="J273" s="12"/>
      <c r="K273" s="10">
        <v>2142450</v>
      </c>
      <c r="L273" s="11"/>
      <c r="M273" s="11"/>
      <c r="N273" s="12"/>
      <c r="O273" s="10">
        <v>2217436</v>
      </c>
      <c r="P273" s="11"/>
      <c r="Q273" s="11"/>
      <c r="R273" s="15"/>
      <c r="S273" s="294">
        <f t="shared" si="19"/>
        <v>8429886</v>
      </c>
      <c r="T273" s="436"/>
    </row>
    <row r="274" spans="1:20" ht="26.25" thickBot="1">
      <c r="A274" s="440"/>
      <c r="B274" s="359" t="s">
        <v>471</v>
      </c>
      <c r="C274" s="10">
        <v>30000000</v>
      </c>
      <c r="D274" s="11"/>
      <c r="E274" s="11"/>
      <c r="F274" s="12"/>
      <c r="G274" s="10">
        <v>31050000</v>
      </c>
      <c r="H274" s="11"/>
      <c r="I274" s="11"/>
      <c r="J274" s="12"/>
      <c r="K274" s="10">
        <v>32136750</v>
      </c>
      <c r="L274" s="11"/>
      <c r="M274" s="11"/>
      <c r="N274" s="12"/>
      <c r="O274" s="10">
        <v>33261536</v>
      </c>
      <c r="P274" s="11"/>
      <c r="Q274" s="11"/>
      <c r="R274" s="269"/>
      <c r="S274" s="294">
        <f t="shared" si="19"/>
        <v>126448286</v>
      </c>
      <c r="T274" s="436"/>
    </row>
    <row r="275" spans="1:20" ht="27" customHeight="1" thickBot="1">
      <c r="A275" s="648" t="s">
        <v>252</v>
      </c>
      <c r="B275" s="649"/>
      <c r="C275" s="631">
        <f>SUM(C276:F277)</f>
        <v>40000000</v>
      </c>
      <c r="D275" s="628"/>
      <c r="E275" s="628"/>
      <c r="F275" s="632"/>
      <c r="G275" s="628">
        <f>SUM(G276:J277)</f>
        <v>2000000</v>
      </c>
      <c r="H275" s="628"/>
      <c r="I275" s="628"/>
      <c r="J275" s="632"/>
      <c r="K275" s="628">
        <f>SUM(K276:N277)</f>
        <v>2070000</v>
      </c>
      <c r="L275" s="628"/>
      <c r="M275" s="628"/>
      <c r="N275" s="632"/>
      <c r="O275" s="628">
        <f>SUM(O276:R277)</f>
        <v>2142450</v>
      </c>
      <c r="P275" s="628"/>
      <c r="Q275" s="628"/>
      <c r="R275" s="628"/>
      <c r="S275" s="830">
        <f>SUM(S276:S277)</f>
        <v>46212450</v>
      </c>
      <c r="T275" s="831"/>
    </row>
    <row r="276" spans="1:20" ht="12.75" customHeight="1">
      <c r="A276" s="438" t="s">
        <v>383</v>
      </c>
      <c r="B276" s="35" t="s">
        <v>112</v>
      </c>
      <c r="C276" s="16">
        <v>30000000</v>
      </c>
      <c r="D276" s="11"/>
      <c r="E276" s="11"/>
      <c r="F276" s="12"/>
      <c r="G276" s="10"/>
      <c r="H276" s="11"/>
      <c r="I276" s="11"/>
      <c r="J276" s="12"/>
      <c r="K276" s="10"/>
      <c r="L276" s="11"/>
      <c r="M276" s="11"/>
      <c r="N276" s="12"/>
      <c r="O276" s="10"/>
      <c r="P276" s="11"/>
      <c r="Q276" s="11"/>
      <c r="R276" s="268"/>
      <c r="S276" s="294">
        <f>SUM(C276:R276)</f>
        <v>30000000</v>
      </c>
      <c r="T276" s="436" t="s">
        <v>396</v>
      </c>
    </row>
    <row r="277" spans="1:20" ht="12.75" customHeight="1" thickBot="1">
      <c r="A277" s="440"/>
      <c r="B277" s="32" t="s">
        <v>113</v>
      </c>
      <c r="C277" s="45">
        <v>10000000</v>
      </c>
      <c r="D277" s="13"/>
      <c r="E277" s="13"/>
      <c r="F277" s="14"/>
      <c r="G277" s="43">
        <v>2000000</v>
      </c>
      <c r="H277" s="13"/>
      <c r="I277" s="13"/>
      <c r="J277" s="14"/>
      <c r="K277" s="43">
        <v>2070000</v>
      </c>
      <c r="L277" s="13"/>
      <c r="M277" s="13"/>
      <c r="N277" s="14"/>
      <c r="O277" s="43">
        <v>2142450</v>
      </c>
      <c r="P277" s="13"/>
      <c r="Q277" s="13"/>
      <c r="R277" s="44"/>
      <c r="S277" s="294">
        <f>SUM(C277:R277)</f>
        <v>16212450</v>
      </c>
      <c r="T277" s="436"/>
    </row>
    <row r="278" spans="1:20" ht="16.5" thickBot="1">
      <c r="A278" s="564" t="s">
        <v>280</v>
      </c>
      <c r="B278" s="565"/>
      <c r="C278" s="393">
        <f>+C263+C264+C265+C267+C269+C270+C271+C272+C273+C274+C276+C277</f>
        <v>180000000</v>
      </c>
      <c r="D278" s="393">
        <f aca="true" t="shared" si="20" ref="D278:R278">+D263+D264+D265+D267+D269+D270+D271+D272+D273+D274+D276+D277</f>
        <v>90000000</v>
      </c>
      <c r="E278" s="393">
        <f t="shared" si="20"/>
        <v>0</v>
      </c>
      <c r="F278" s="393">
        <f t="shared" si="20"/>
        <v>20000000</v>
      </c>
      <c r="G278" s="393">
        <f t="shared" si="20"/>
        <v>126200000</v>
      </c>
      <c r="H278" s="393">
        <f t="shared" si="20"/>
        <v>93150000</v>
      </c>
      <c r="I278" s="393">
        <f t="shared" si="20"/>
        <v>0</v>
      </c>
      <c r="J278" s="393">
        <f t="shared" si="20"/>
        <v>20700000</v>
      </c>
      <c r="K278" s="393">
        <f t="shared" si="20"/>
        <v>119904750</v>
      </c>
      <c r="L278" s="393">
        <f t="shared" si="20"/>
        <v>96410250</v>
      </c>
      <c r="M278" s="393">
        <f t="shared" si="20"/>
        <v>0</v>
      </c>
      <c r="N278" s="393">
        <f t="shared" si="20"/>
        <v>21424500</v>
      </c>
      <c r="O278" s="393">
        <f t="shared" si="20"/>
        <v>324101416</v>
      </c>
      <c r="P278" s="393">
        <f t="shared" si="20"/>
        <v>99784609</v>
      </c>
      <c r="Q278" s="393">
        <f t="shared" si="20"/>
        <v>0</v>
      </c>
      <c r="R278" s="393">
        <f t="shared" si="20"/>
        <v>22174358</v>
      </c>
      <c r="S278" s="662">
        <f>+S262+S266+S268+S275</f>
        <v>1213849883</v>
      </c>
      <c r="T278" s="540"/>
    </row>
    <row r="279" spans="1:20" ht="39.75" customHeight="1" thickBot="1">
      <c r="A279" s="654" t="s">
        <v>286</v>
      </c>
      <c r="B279" s="655"/>
      <c r="C279" s="656"/>
      <c r="D279" s="656"/>
      <c r="E279" s="656"/>
      <c r="F279" s="656"/>
      <c r="G279" s="656"/>
      <c r="H279" s="656"/>
      <c r="I279" s="656"/>
      <c r="J279" s="656"/>
      <c r="K279" s="656"/>
      <c r="L279" s="656"/>
      <c r="M279" s="656"/>
      <c r="N279" s="656"/>
      <c r="O279" s="656"/>
      <c r="P279" s="656"/>
      <c r="Q279" s="656"/>
      <c r="R279" s="657"/>
      <c r="S279" s="299"/>
      <c r="T279" s="300"/>
    </row>
    <row r="280" spans="1:20" ht="15">
      <c r="A280" s="658" t="s">
        <v>287</v>
      </c>
      <c r="B280" s="659"/>
      <c r="C280" s="505" t="s">
        <v>81</v>
      </c>
      <c r="D280" s="506"/>
      <c r="E280" s="506"/>
      <c r="F280" s="506"/>
      <c r="G280" s="506"/>
      <c r="H280" s="506"/>
      <c r="I280" s="506"/>
      <c r="J280" s="506"/>
      <c r="K280" s="506"/>
      <c r="L280" s="506"/>
      <c r="M280" s="506"/>
      <c r="N280" s="506"/>
      <c r="O280" s="506"/>
      <c r="P280" s="506"/>
      <c r="Q280" s="506"/>
      <c r="R280" s="506"/>
      <c r="S280" s="301"/>
      <c r="T280" s="302"/>
    </row>
    <row r="281" spans="1:20" ht="15.75" customHeight="1" thickBot="1">
      <c r="A281" s="660"/>
      <c r="B281" s="661"/>
      <c r="C281" s="576" t="s">
        <v>473</v>
      </c>
      <c r="D281" s="577"/>
      <c r="E281" s="577"/>
      <c r="F281" s="577"/>
      <c r="G281" s="577"/>
      <c r="H281" s="577"/>
      <c r="I281" s="577"/>
      <c r="J281" s="577"/>
      <c r="K281" s="577"/>
      <c r="L281" s="577"/>
      <c r="M281" s="577"/>
      <c r="N281" s="577"/>
      <c r="O281" s="577"/>
      <c r="P281" s="577"/>
      <c r="Q281" s="577"/>
      <c r="R281" s="577"/>
      <c r="S281" s="303"/>
      <c r="T281" s="304"/>
    </row>
    <row r="282" spans="1:20" ht="16.5" thickBot="1">
      <c r="A282" s="673" t="s">
        <v>324</v>
      </c>
      <c r="B282" s="674"/>
      <c r="C282" s="675">
        <f>+C283+C289+C293</f>
        <v>438339506</v>
      </c>
      <c r="D282" s="676"/>
      <c r="E282" s="676"/>
      <c r="F282" s="676"/>
      <c r="G282" s="675">
        <f>+G283+G289+G293</f>
        <v>504161389</v>
      </c>
      <c r="H282" s="676"/>
      <c r="I282" s="676"/>
      <c r="J282" s="676"/>
      <c r="K282" s="675">
        <f>+K283+K289+K293</f>
        <v>521807037</v>
      </c>
      <c r="L282" s="676"/>
      <c r="M282" s="676"/>
      <c r="N282" s="676"/>
      <c r="O282" s="675">
        <f>+O283+O289+O293</f>
        <v>540070285</v>
      </c>
      <c r="P282" s="676"/>
      <c r="Q282" s="676"/>
      <c r="R282" s="676"/>
      <c r="S282" s="663">
        <f>SUM(C282:R282)</f>
        <v>2004378217</v>
      </c>
      <c r="T282" s="664"/>
    </row>
    <row r="283" spans="1:20" ht="27" customHeight="1" thickBot="1">
      <c r="A283" s="677" t="s">
        <v>288</v>
      </c>
      <c r="B283" s="678"/>
      <c r="C283" s="679">
        <f>SUM(C284:F288)</f>
        <v>131000000</v>
      </c>
      <c r="D283" s="667"/>
      <c r="E283" s="667"/>
      <c r="F283" s="680"/>
      <c r="G283" s="667">
        <f>SUM(G284:J288)</f>
        <v>151765000</v>
      </c>
      <c r="H283" s="667"/>
      <c r="I283" s="667"/>
      <c r="J283" s="680"/>
      <c r="K283" s="667">
        <f>SUM(K284:N288)</f>
        <v>157076775</v>
      </c>
      <c r="L283" s="667"/>
      <c r="M283" s="667"/>
      <c r="N283" s="680"/>
      <c r="O283" s="667">
        <f>SUM(O284:R288)</f>
        <v>162574463</v>
      </c>
      <c r="P283" s="667"/>
      <c r="Q283" s="667"/>
      <c r="R283" s="667"/>
      <c r="S283" s="665">
        <f>SUM(S284:S288)</f>
        <v>602416238</v>
      </c>
      <c r="T283" s="666"/>
    </row>
    <row r="284" spans="1:20" ht="38.25">
      <c r="A284" s="461" t="s">
        <v>367</v>
      </c>
      <c r="B284" s="35" t="s">
        <v>474</v>
      </c>
      <c r="C284" s="65">
        <v>10000000</v>
      </c>
      <c r="D284" s="81"/>
      <c r="E284" s="81"/>
      <c r="F284" s="82">
        <v>10000000</v>
      </c>
      <c r="G284" s="83">
        <v>20000000</v>
      </c>
      <c r="H284" s="81"/>
      <c r="I284" s="81"/>
      <c r="J284" s="82">
        <v>10350000</v>
      </c>
      <c r="K284" s="83">
        <v>20700000</v>
      </c>
      <c r="L284" s="81"/>
      <c r="M284" s="81"/>
      <c r="N284" s="82">
        <v>10712250</v>
      </c>
      <c r="O284" s="83">
        <v>21424500</v>
      </c>
      <c r="P284" s="81"/>
      <c r="Q284" s="81"/>
      <c r="R284" s="278">
        <v>11087179</v>
      </c>
      <c r="S284" s="294">
        <f>SUM(C284:R284)</f>
        <v>114273929</v>
      </c>
      <c r="T284" s="436" t="s">
        <v>396</v>
      </c>
    </row>
    <row r="285" spans="1:20" ht="35.25" customHeight="1">
      <c r="A285" s="554"/>
      <c r="B285" s="31" t="s">
        <v>114</v>
      </c>
      <c r="C285" s="65">
        <v>9000000</v>
      </c>
      <c r="D285" s="81"/>
      <c r="E285" s="81"/>
      <c r="F285" s="82"/>
      <c r="G285" s="83">
        <v>9315000</v>
      </c>
      <c r="H285" s="81"/>
      <c r="I285" s="81"/>
      <c r="J285" s="82"/>
      <c r="K285" s="83">
        <v>9641025</v>
      </c>
      <c r="L285" s="81"/>
      <c r="M285" s="81"/>
      <c r="N285" s="82"/>
      <c r="O285" s="83">
        <v>9978461</v>
      </c>
      <c r="P285" s="81"/>
      <c r="Q285" s="81"/>
      <c r="R285" s="279"/>
      <c r="S285" s="294">
        <f>SUM(C285:R285)</f>
        <v>37934486</v>
      </c>
      <c r="T285" s="436"/>
    </row>
    <row r="286" spans="1:20" ht="38.25">
      <c r="A286" s="554"/>
      <c r="B286" s="31" t="s">
        <v>475</v>
      </c>
      <c r="C286" s="65">
        <v>30000000</v>
      </c>
      <c r="D286" s="81"/>
      <c r="E286" s="81"/>
      <c r="F286" s="82">
        <v>20000000</v>
      </c>
      <c r="G286" s="83">
        <v>31050000</v>
      </c>
      <c r="H286" s="81"/>
      <c r="I286" s="81"/>
      <c r="J286" s="82">
        <v>20700000</v>
      </c>
      <c r="K286" s="83">
        <v>32136750</v>
      </c>
      <c r="L286" s="81"/>
      <c r="M286" s="81"/>
      <c r="N286" s="82">
        <v>21424500</v>
      </c>
      <c r="O286" s="83">
        <v>33261536</v>
      </c>
      <c r="P286" s="81"/>
      <c r="Q286" s="81"/>
      <c r="R286" s="279">
        <v>22174358</v>
      </c>
      <c r="S286" s="294">
        <f>SUM(C286:R286)</f>
        <v>210747144</v>
      </c>
      <c r="T286" s="436"/>
    </row>
    <row r="287" spans="1:20" ht="24" customHeight="1">
      <c r="A287" s="554"/>
      <c r="B287" s="31" t="s">
        <v>115</v>
      </c>
      <c r="C287" s="65">
        <v>10000000</v>
      </c>
      <c r="D287" s="81"/>
      <c r="E287" s="81"/>
      <c r="F287" s="82"/>
      <c r="G287" s="83">
        <v>10350000</v>
      </c>
      <c r="H287" s="81"/>
      <c r="I287" s="81"/>
      <c r="J287" s="82"/>
      <c r="K287" s="83">
        <v>10712250</v>
      </c>
      <c r="L287" s="81"/>
      <c r="M287" s="81"/>
      <c r="N287" s="82"/>
      <c r="O287" s="83">
        <v>11087179</v>
      </c>
      <c r="P287" s="81"/>
      <c r="Q287" s="81"/>
      <c r="R287" s="279"/>
      <c r="S287" s="294">
        <f>SUM(C287:R287)</f>
        <v>42149429</v>
      </c>
      <c r="T287" s="436"/>
    </row>
    <row r="288" spans="1:20" ht="24" customHeight="1" thickBot="1">
      <c r="A288" s="462"/>
      <c r="B288" s="32" t="s">
        <v>341</v>
      </c>
      <c r="C288" s="65">
        <v>42000000</v>
      </c>
      <c r="D288" s="81"/>
      <c r="E288" s="81"/>
      <c r="F288" s="82"/>
      <c r="G288" s="83">
        <v>50000000</v>
      </c>
      <c r="H288" s="81"/>
      <c r="I288" s="81"/>
      <c r="J288" s="82"/>
      <c r="K288" s="83">
        <v>51750000</v>
      </c>
      <c r="L288" s="81"/>
      <c r="M288" s="81"/>
      <c r="N288" s="82"/>
      <c r="O288" s="83">
        <v>53561250</v>
      </c>
      <c r="P288" s="81"/>
      <c r="Q288" s="81"/>
      <c r="R288" s="280"/>
      <c r="S288" s="294">
        <f>SUM(C288:R288)</f>
        <v>197311250</v>
      </c>
      <c r="T288" s="436"/>
    </row>
    <row r="289" spans="1:20" ht="27" customHeight="1" thickBot="1">
      <c r="A289" s="668" t="s">
        <v>289</v>
      </c>
      <c r="B289" s="669"/>
      <c r="C289" s="670">
        <f>SUM(C290:F292)</f>
        <v>60000000</v>
      </c>
      <c r="D289" s="671"/>
      <c r="E289" s="671"/>
      <c r="F289" s="672"/>
      <c r="G289" s="671">
        <f>SUM(G290:J292)</f>
        <v>101750000</v>
      </c>
      <c r="H289" s="671"/>
      <c r="I289" s="671"/>
      <c r="J289" s="672"/>
      <c r="K289" s="671">
        <f>SUM(K290:N292)</f>
        <v>105311250</v>
      </c>
      <c r="L289" s="671"/>
      <c r="M289" s="671"/>
      <c r="N289" s="672"/>
      <c r="O289" s="671">
        <f>SUM(O290:R292)</f>
        <v>108997144</v>
      </c>
      <c r="P289" s="671"/>
      <c r="Q289" s="671"/>
      <c r="R289" s="671"/>
      <c r="S289" s="665">
        <f>SUM(S290:S292)</f>
        <v>376058394</v>
      </c>
      <c r="T289" s="666"/>
    </row>
    <row r="290" spans="1:20" ht="23.25" customHeight="1">
      <c r="A290" s="461" t="s">
        <v>367</v>
      </c>
      <c r="B290" s="35" t="s">
        <v>476</v>
      </c>
      <c r="C290" s="65"/>
      <c r="D290" s="81"/>
      <c r="E290" s="81"/>
      <c r="F290" s="82"/>
      <c r="G290" s="83">
        <v>50000000</v>
      </c>
      <c r="H290" s="81"/>
      <c r="I290" s="81"/>
      <c r="J290" s="82"/>
      <c r="K290" s="83">
        <v>51750000</v>
      </c>
      <c r="L290" s="81"/>
      <c r="M290" s="81"/>
      <c r="N290" s="82"/>
      <c r="O290" s="83">
        <v>53561250</v>
      </c>
      <c r="P290" s="81"/>
      <c r="Q290" s="81"/>
      <c r="R290" s="279"/>
      <c r="S290" s="294">
        <f>SUM(C290:R290)</f>
        <v>155311250</v>
      </c>
      <c r="T290" s="436" t="s">
        <v>396</v>
      </c>
    </row>
    <row r="291" spans="1:20" ht="38.25">
      <c r="A291" s="554"/>
      <c r="B291" s="31" t="s">
        <v>138</v>
      </c>
      <c r="C291" s="65">
        <v>10000000</v>
      </c>
      <c r="D291" s="81"/>
      <c r="E291" s="81"/>
      <c r="F291" s="82"/>
      <c r="G291" s="83"/>
      <c r="H291" s="81"/>
      <c r="I291" s="81"/>
      <c r="J291" s="82"/>
      <c r="K291" s="83"/>
      <c r="L291" s="81"/>
      <c r="M291" s="81"/>
      <c r="N291" s="82"/>
      <c r="O291" s="83"/>
      <c r="P291" s="81"/>
      <c r="Q291" s="81"/>
      <c r="R291" s="279"/>
      <c r="S291" s="294">
        <f>SUM(C291:R291)</f>
        <v>10000000</v>
      </c>
      <c r="T291" s="436"/>
    </row>
    <row r="292" spans="1:20" ht="24" customHeight="1" thickBot="1">
      <c r="A292" s="462"/>
      <c r="B292" s="32" t="s">
        <v>477</v>
      </c>
      <c r="C292" s="65"/>
      <c r="D292" s="81">
        <v>50000000</v>
      </c>
      <c r="E292" s="81"/>
      <c r="F292" s="82"/>
      <c r="G292" s="83"/>
      <c r="H292" s="81">
        <v>51750000</v>
      </c>
      <c r="I292" s="81"/>
      <c r="J292" s="82"/>
      <c r="K292" s="83"/>
      <c r="L292" s="81">
        <v>53561250</v>
      </c>
      <c r="M292" s="81"/>
      <c r="N292" s="82"/>
      <c r="O292" s="83"/>
      <c r="P292" s="81">
        <v>55435894</v>
      </c>
      <c r="Q292" s="81"/>
      <c r="R292" s="281"/>
      <c r="S292" s="294">
        <f>SUM(C292:R292)</f>
        <v>210747144</v>
      </c>
      <c r="T292" s="436"/>
    </row>
    <row r="293" spans="1:20" ht="27" customHeight="1" thickBot="1">
      <c r="A293" s="668" t="s">
        <v>290</v>
      </c>
      <c r="B293" s="669"/>
      <c r="C293" s="670">
        <f>SUM(C294:F296)</f>
        <v>247339506</v>
      </c>
      <c r="D293" s="671"/>
      <c r="E293" s="671"/>
      <c r="F293" s="672"/>
      <c r="G293" s="671">
        <f>SUM(G294:J296)</f>
        <v>250646389</v>
      </c>
      <c r="H293" s="671"/>
      <c r="I293" s="671"/>
      <c r="J293" s="672"/>
      <c r="K293" s="671">
        <f>SUM(K294:N296)</f>
        <v>259419012</v>
      </c>
      <c r="L293" s="671"/>
      <c r="M293" s="671"/>
      <c r="N293" s="672"/>
      <c r="O293" s="671">
        <f>SUM(O294:R296)</f>
        <v>268498678</v>
      </c>
      <c r="P293" s="671"/>
      <c r="Q293" s="671"/>
      <c r="R293" s="671"/>
      <c r="S293" s="665">
        <f>SUM(S294:S296)</f>
        <v>1025903585</v>
      </c>
      <c r="T293" s="666"/>
    </row>
    <row r="294" spans="1:20" ht="12.75" customHeight="1">
      <c r="A294" s="461" t="s">
        <v>367</v>
      </c>
      <c r="B294" s="190" t="s">
        <v>156</v>
      </c>
      <c r="C294" s="84">
        <v>20000000</v>
      </c>
      <c r="D294" s="85"/>
      <c r="E294" s="85"/>
      <c r="F294" s="86"/>
      <c r="G294" s="87">
        <v>20700000</v>
      </c>
      <c r="H294" s="85"/>
      <c r="I294" s="85"/>
      <c r="J294" s="86"/>
      <c r="K294" s="87">
        <v>21424500</v>
      </c>
      <c r="L294" s="85"/>
      <c r="M294" s="85"/>
      <c r="N294" s="86"/>
      <c r="O294" s="87">
        <v>22174358</v>
      </c>
      <c r="P294" s="85"/>
      <c r="Q294" s="85"/>
      <c r="R294" s="282"/>
      <c r="S294" s="294">
        <f>SUM(C294:R294)</f>
        <v>84298858</v>
      </c>
      <c r="T294" s="436" t="s">
        <v>396</v>
      </c>
    </row>
    <row r="295" spans="1:20" ht="24.75" customHeight="1">
      <c r="A295" s="554"/>
      <c r="B295" s="31" t="s">
        <v>157</v>
      </c>
      <c r="C295" s="65">
        <v>10000000</v>
      </c>
      <c r="D295" s="81"/>
      <c r="E295" s="81"/>
      <c r="F295" s="82"/>
      <c r="G295" s="83">
        <v>5000000</v>
      </c>
      <c r="H295" s="81"/>
      <c r="I295" s="81"/>
      <c r="J295" s="82"/>
      <c r="K295" s="83">
        <v>5175000</v>
      </c>
      <c r="L295" s="81"/>
      <c r="M295" s="81"/>
      <c r="N295" s="82"/>
      <c r="O295" s="83">
        <v>5356125</v>
      </c>
      <c r="P295" s="81"/>
      <c r="Q295" s="81"/>
      <c r="R295" s="280"/>
      <c r="S295" s="294">
        <f>SUM(C295:R295)</f>
        <v>25531125</v>
      </c>
      <c r="T295" s="436"/>
    </row>
    <row r="296" spans="1:20" ht="14.25" customHeight="1" thickBot="1">
      <c r="A296" s="462"/>
      <c r="B296" s="32" t="s">
        <v>342</v>
      </c>
      <c r="C296" s="84">
        <v>217339506</v>
      </c>
      <c r="D296" s="85"/>
      <c r="E296" s="85"/>
      <c r="F296" s="86"/>
      <c r="G296" s="87">
        <v>224946389</v>
      </c>
      <c r="H296" s="85"/>
      <c r="I296" s="85"/>
      <c r="J296" s="86"/>
      <c r="K296" s="87">
        <v>232819512</v>
      </c>
      <c r="L296" s="85"/>
      <c r="M296" s="85"/>
      <c r="N296" s="86"/>
      <c r="O296" s="87">
        <v>240968195</v>
      </c>
      <c r="P296" s="85"/>
      <c r="Q296" s="85"/>
      <c r="R296" s="283"/>
      <c r="S296" s="294">
        <f>SUM(C296:R296)</f>
        <v>916073602</v>
      </c>
      <c r="T296" s="436"/>
    </row>
    <row r="297" spans="1:20" ht="16.5" thickBot="1">
      <c r="A297" s="564" t="s">
        <v>280</v>
      </c>
      <c r="B297" s="565"/>
      <c r="C297" s="226">
        <f>+C284+C285+C286+C287+C288+C290+C291+C292+C294+C295+C296</f>
        <v>358339506</v>
      </c>
      <c r="D297" s="227">
        <f>+D284+D285+D286+D287+D288+D290+D291+D292+D294+D295+D296</f>
        <v>50000000</v>
      </c>
      <c r="E297" s="227">
        <f>+E284+E285+E286+E287+E288+E290+E291+E292+E294+E295+E296</f>
        <v>0</v>
      </c>
      <c r="F297" s="228">
        <f>+F284+F285+F286+F287+F288+F290+F291+F292+F294+F295+F296</f>
        <v>30000000</v>
      </c>
      <c r="G297" s="226">
        <f>+G284+G285+G286+G287+G288+G290+G291+G292+G294+G295+G296</f>
        <v>421361389</v>
      </c>
      <c r="H297" s="229">
        <f aca="true" t="shared" si="21" ref="H297:R297">+H284+H285+H286+H287+H288+H290+H291+H292+H294+H295+H296</f>
        <v>51750000</v>
      </c>
      <c r="I297" s="229">
        <f t="shared" si="21"/>
        <v>0</v>
      </c>
      <c r="J297" s="233">
        <f t="shared" si="21"/>
        <v>31050000</v>
      </c>
      <c r="K297" s="226">
        <f t="shared" si="21"/>
        <v>436109037</v>
      </c>
      <c r="L297" s="229">
        <f t="shared" si="21"/>
        <v>53561250</v>
      </c>
      <c r="M297" s="229">
        <f t="shared" si="21"/>
        <v>0</v>
      </c>
      <c r="N297" s="233">
        <f t="shared" si="21"/>
        <v>32136750</v>
      </c>
      <c r="O297" s="226">
        <f t="shared" si="21"/>
        <v>451372854</v>
      </c>
      <c r="P297" s="229">
        <f t="shared" si="21"/>
        <v>55435894</v>
      </c>
      <c r="Q297" s="229">
        <f t="shared" si="21"/>
        <v>0</v>
      </c>
      <c r="R297" s="258">
        <f t="shared" si="21"/>
        <v>33261537</v>
      </c>
      <c r="S297" s="539">
        <f>+S283+S289+S293</f>
        <v>2004378217</v>
      </c>
      <c r="T297" s="540"/>
    </row>
    <row r="298" spans="1:20" ht="21" customHeight="1">
      <c r="A298" s="568"/>
      <c r="B298" s="569"/>
      <c r="C298" s="528">
        <v>2012</v>
      </c>
      <c r="D298" s="529"/>
      <c r="E298" s="529"/>
      <c r="F298" s="570"/>
      <c r="G298" s="528">
        <v>2013</v>
      </c>
      <c r="H298" s="529"/>
      <c r="I298" s="529"/>
      <c r="J298" s="570"/>
      <c r="K298" s="528">
        <v>2014</v>
      </c>
      <c r="L298" s="529"/>
      <c r="M298" s="529"/>
      <c r="N298" s="570"/>
      <c r="O298" s="528">
        <v>2015</v>
      </c>
      <c r="P298" s="529"/>
      <c r="Q298" s="529"/>
      <c r="R298" s="530"/>
      <c r="S298" s="691" t="s">
        <v>386</v>
      </c>
      <c r="T298" s="693" t="s">
        <v>403</v>
      </c>
    </row>
    <row r="299" spans="1:20" ht="25.5" customHeight="1" thickBot="1">
      <c r="A299" s="247" t="s">
        <v>0</v>
      </c>
      <c r="B299" s="248" t="s">
        <v>284</v>
      </c>
      <c r="C299" s="249" t="s">
        <v>1</v>
      </c>
      <c r="D299" s="250" t="s">
        <v>2</v>
      </c>
      <c r="E299" s="250" t="s">
        <v>3</v>
      </c>
      <c r="F299" s="251" t="s">
        <v>4</v>
      </c>
      <c r="G299" s="249" t="s">
        <v>1</v>
      </c>
      <c r="H299" s="250" t="s">
        <v>2</v>
      </c>
      <c r="I299" s="250" t="s">
        <v>3</v>
      </c>
      <c r="J299" s="251" t="s">
        <v>4</v>
      </c>
      <c r="K299" s="249" t="s">
        <v>1</v>
      </c>
      <c r="L299" s="250" t="s">
        <v>2</v>
      </c>
      <c r="M299" s="250" t="s">
        <v>3</v>
      </c>
      <c r="N299" s="251" t="s">
        <v>4</v>
      </c>
      <c r="O299" s="249" t="s">
        <v>1</v>
      </c>
      <c r="P299" s="250" t="s">
        <v>2</v>
      </c>
      <c r="Q299" s="250" t="s">
        <v>3</v>
      </c>
      <c r="R299" s="266" t="s">
        <v>4</v>
      </c>
      <c r="S299" s="692"/>
      <c r="T299" s="694"/>
    </row>
    <row r="300" spans="1:20" ht="12.75" customHeight="1">
      <c r="A300" s="658" t="s">
        <v>291</v>
      </c>
      <c r="B300" s="659"/>
      <c r="C300" s="695" t="s">
        <v>81</v>
      </c>
      <c r="D300" s="696"/>
      <c r="E300" s="696"/>
      <c r="F300" s="696"/>
      <c r="G300" s="696"/>
      <c r="H300" s="696"/>
      <c r="I300" s="696"/>
      <c r="J300" s="696"/>
      <c r="K300" s="696"/>
      <c r="L300" s="696"/>
      <c r="M300" s="696"/>
      <c r="N300" s="696"/>
      <c r="O300" s="696"/>
      <c r="P300" s="696"/>
      <c r="Q300" s="696"/>
      <c r="R300" s="696"/>
      <c r="S300" s="313"/>
      <c r="T300" s="311"/>
    </row>
    <row r="301" spans="1:20" ht="12.75" customHeight="1">
      <c r="A301" s="660"/>
      <c r="B301" s="661"/>
      <c r="C301" s="681" t="s">
        <v>369</v>
      </c>
      <c r="D301" s="682"/>
      <c r="E301" s="682"/>
      <c r="F301" s="682"/>
      <c r="G301" s="682"/>
      <c r="H301" s="682"/>
      <c r="I301" s="682"/>
      <c r="J301" s="682"/>
      <c r="K301" s="682"/>
      <c r="L301" s="682"/>
      <c r="M301" s="682"/>
      <c r="N301" s="682"/>
      <c r="O301" s="682"/>
      <c r="P301" s="682"/>
      <c r="Q301" s="682"/>
      <c r="R301" s="682"/>
      <c r="S301" s="313"/>
      <c r="T301" s="311"/>
    </row>
    <row r="302" spans="1:20" ht="12.75" customHeight="1" thickBot="1">
      <c r="A302" s="660"/>
      <c r="B302" s="661"/>
      <c r="C302" s="681" t="s">
        <v>370</v>
      </c>
      <c r="D302" s="682"/>
      <c r="E302" s="682"/>
      <c r="F302" s="682"/>
      <c r="G302" s="682"/>
      <c r="H302" s="682"/>
      <c r="I302" s="682"/>
      <c r="J302" s="682"/>
      <c r="K302" s="682"/>
      <c r="L302" s="682"/>
      <c r="M302" s="682"/>
      <c r="N302" s="682"/>
      <c r="O302" s="682"/>
      <c r="P302" s="682"/>
      <c r="Q302" s="682"/>
      <c r="R302" s="682"/>
      <c r="S302" s="314"/>
      <c r="T302" s="312"/>
    </row>
    <row r="303" spans="1:20" ht="16.5" thickBot="1">
      <c r="A303" s="673" t="s">
        <v>325</v>
      </c>
      <c r="B303" s="674"/>
      <c r="C303" s="675">
        <f>+C304+C311</f>
        <v>146754177</v>
      </c>
      <c r="D303" s="676"/>
      <c r="E303" s="676"/>
      <c r="F303" s="683"/>
      <c r="G303" s="676">
        <f>+G304+G311</f>
        <v>143875573</v>
      </c>
      <c r="H303" s="676"/>
      <c r="I303" s="676"/>
      <c r="J303" s="683"/>
      <c r="K303" s="676">
        <f>+K304+K311</f>
        <v>136491218</v>
      </c>
      <c r="L303" s="676"/>
      <c r="M303" s="676"/>
      <c r="N303" s="683"/>
      <c r="O303" s="676">
        <f>+O304+O311</f>
        <v>141268413</v>
      </c>
      <c r="P303" s="676"/>
      <c r="Q303" s="676"/>
      <c r="R303" s="676"/>
      <c r="S303" s="663">
        <f>SUM(C303:R303)</f>
        <v>568389381</v>
      </c>
      <c r="T303" s="664"/>
    </row>
    <row r="304" spans="1:20" ht="27" customHeight="1" thickBot="1">
      <c r="A304" s="668" t="s">
        <v>292</v>
      </c>
      <c r="B304" s="669"/>
      <c r="C304" s="679">
        <f>SUM(C305:F310)</f>
        <v>44000000</v>
      </c>
      <c r="D304" s="667"/>
      <c r="E304" s="667"/>
      <c r="F304" s="680"/>
      <c r="G304" s="667">
        <f>SUM(G305:J310)</f>
        <v>37525000</v>
      </c>
      <c r="H304" s="667"/>
      <c r="I304" s="667"/>
      <c r="J304" s="680"/>
      <c r="K304" s="667">
        <f>SUM(K305:N310)</f>
        <v>26418375</v>
      </c>
      <c r="L304" s="667"/>
      <c r="M304" s="667"/>
      <c r="N304" s="680"/>
      <c r="O304" s="667">
        <f>SUM(O305:R310)</f>
        <v>27343019</v>
      </c>
      <c r="P304" s="667"/>
      <c r="Q304" s="667"/>
      <c r="R304" s="667"/>
      <c r="S304" s="665">
        <f>SUM(S305:S310)</f>
        <v>135286394</v>
      </c>
      <c r="T304" s="666"/>
    </row>
    <row r="305" spans="1:20" ht="25.5">
      <c r="A305" s="438" t="s">
        <v>489</v>
      </c>
      <c r="B305" s="35" t="s">
        <v>293</v>
      </c>
      <c r="C305" s="65">
        <v>10000000</v>
      </c>
      <c r="D305" s="81"/>
      <c r="E305" s="81"/>
      <c r="F305" s="82"/>
      <c r="G305" s="83">
        <v>5000000</v>
      </c>
      <c r="H305" s="81"/>
      <c r="I305" s="81"/>
      <c r="J305" s="82"/>
      <c r="K305" s="83">
        <v>5175000</v>
      </c>
      <c r="L305" s="81"/>
      <c r="M305" s="81"/>
      <c r="N305" s="82"/>
      <c r="O305" s="83">
        <v>5356125</v>
      </c>
      <c r="P305" s="81"/>
      <c r="Q305" s="81"/>
      <c r="R305" s="279"/>
      <c r="S305" s="294">
        <f aca="true" t="shared" si="22" ref="S305:S310">SUM(C305:R305)</f>
        <v>25531125</v>
      </c>
      <c r="T305" s="436" t="s">
        <v>397</v>
      </c>
    </row>
    <row r="306" spans="1:20" ht="38.25">
      <c r="A306" s="439"/>
      <c r="B306" s="88" t="s">
        <v>158</v>
      </c>
      <c r="C306" s="65"/>
      <c r="D306" s="81"/>
      <c r="E306" s="81"/>
      <c r="F306" s="82"/>
      <c r="G306" s="83">
        <v>7000000</v>
      </c>
      <c r="H306" s="81"/>
      <c r="I306" s="81"/>
      <c r="J306" s="82"/>
      <c r="K306" s="83"/>
      <c r="L306" s="81"/>
      <c r="M306" s="81"/>
      <c r="N306" s="82"/>
      <c r="O306" s="83"/>
      <c r="P306" s="81"/>
      <c r="Q306" s="81"/>
      <c r="R306" s="280"/>
      <c r="S306" s="294">
        <f t="shared" si="22"/>
        <v>7000000</v>
      </c>
      <c r="T306" s="436"/>
    </row>
    <row r="307" spans="1:20" ht="25.5">
      <c r="A307" s="439"/>
      <c r="B307" s="31" t="s">
        <v>159</v>
      </c>
      <c r="C307" s="65"/>
      <c r="D307" s="81"/>
      <c r="E307" s="81"/>
      <c r="F307" s="82"/>
      <c r="G307" s="83">
        <v>5000000</v>
      </c>
      <c r="H307" s="81"/>
      <c r="I307" s="81"/>
      <c r="J307" s="82"/>
      <c r="K307" s="83"/>
      <c r="L307" s="81"/>
      <c r="M307" s="81"/>
      <c r="N307" s="82"/>
      <c r="O307" s="83"/>
      <c r="P307" s="81"/>
      <c r="Q307" s="81"/>
      <c r="R307" s="279"/>
      <c r="S307" s="294">
        <f t="shared" si="22"/>
        <v>5000000</v>
      </c>
      <c r="T307" s="436"/>
    </row>
    <row r="308" spans="1:20" ht="25.5">
      <c r="A308" s="439"/>
      <c r="B308" s="63" t="s">
        <v>160</v>
      </c>
      <c r="C308" s="65">
        <v>10000000</v>
      </c>
      <c r="D308" s="81"/>
      <c r="E308" s="81"/>
      <c r="F308" s="82"/>
      <c r="G308" s="83">
        <v>10350000</v>
      </c>
      <c r="H308" s="81"/>
      <c r="I308" s="81"/>
      <c r="J308" s="82"/>
      <c r="K308" s="83">
        <v>10712250</v>
      </c>
      <c r="L308" s="81"/>
      <c r="M308" s="81"/>
      <c r="N308" s="82"/>
      <c r="O308" s="83">
        <v>11087180</v>
      </c>
      <c r="P308" s="81"/>
      <c r="Q308" s="81"/>
      <c r="R308" s="281"/>
      <c r="S308" s="294">
        <f t="shared" si="22"/>
        <v>42149430</v>
      </c>
      <c r="T308" s="436"/>
    </row>
    <row r="309" spans="1:20" ht="25.5">
      <c r="A309" s="439"/>
      <c r="B309" s="307" t="s">
        <v>156</v>
      </c>
      <c r="C309" s="65">
        <v>5000000</v>
      </c>
      <c r="D309" s="81"/>
      <c r="E309" s="81"/>
      <c r="F309" s="82"/>
      <c r="G309" s="83">
        <v>5175000</v>
      </c>
      <c r="H309" s="81"/>
      <c r="I309" s="81"/>
      <c r="J309" s="82"/>
      <c r="K309" s="83">
        <v>5356125</v>
      </c>
      <c r="L309" s="81"/>
      <c r="M309" s="81"/>
      <c r="N309" s="82"/>
      <c r="O309" s="83">
        <v>5543589</v>
      </c>
      <c r="P309" s="81"/>
      <c r="Q309" s="81"/>
      <c r="R309" s="278"/>
      <c r="S309" s="294">
        <f t="shared" si="22"/>
        <v>21074714</v>
      </c>
      <c r="T309" s="436"/>
    </row>
    <row r="310" spans="1:20" ht="26.25" thickBot="1">
      <c r="A310" s="440"/>
      <c r="B310" s="32" t="s">
        <v>343</v>
      </c>
      <c r="C310" s="89">
        <v>19000000</v>
      </c>
      <c r="D310" s="90"/>
      <c r="E310" s="90"/>
      <c r="F310" s="91"/>
      <c r="G310" s="92">
        <v>5000000</v>
      </c>
      <c r="H310" s="90"/>
      <c r="I310" s="90"/>
      <c r="J310" s="91"/>
      <c r="K310" s="92">
        <v>5175000</v>
      </c>
      <c r="L310" s="90"/>
      <c r="M310" s="90"/>
      <c r="N310" s="91"/>
      <c r="O310" s="92">
        <v>5356125</v>
      </c>
      <c r="P310" s="90"/>
      <c r="Q310" s="90"/>
      <c r="R310" s="284"/>
      <c r="S310" s="294">
        <f t="shared" si="22"/>
        <v>34531125</v>
      </c>
      <c r="T310" s="436"/>
    </row>
    <row r="311" spans="1:20" ht="27" customHeight="1" thickBot="1">
      <c r="A311" s="697" t="s">
        <v>294</v>
      </c>
      <c r="B311" s="698"/>
      <c r="C311" s="670">
        <f>SUM(C312:F314)</f>
        <v>102754177</v>
      </c>
      <c r="D311" s="671"/>
      <c r="E311" s="671"/>
      <c r="F311" s="672"/>
      <c r="G311" s="671">
        <f>SUM(G312:J314)</f>
        <v>106350573</v>
      </c>
      <c r="H311" s="671"/>
      <c r="I311" s="671"/>
      <c r="J311" s="672"/>
      <c r="K311" s="671">
        <f>SUM(K312:N314)</f>
        <v>110072843</v>
      </c>
      <c r="L311" s="671"/>
      <c r="M311" s="671"/>
      <c r="N311" s="672"/>
      <c r="O311" s="671">
        <f>SUM(O312:R314)</f>
        <v>113925394</v>
      </c>
      <c r="P311" s="671"/>
      <c r="Q311" s="671"/>
      <c r="R311" s="671"/>
      <c r="S311" s="665">
        <f>SUM(S312:S314)</f>
        <v>433102987</v>
      </c>
      <c r="T311" s="666"/>
    </row>
    <row r="312" spans="1:20" ht="38.25">
      <c r="A312" s="616" t="s">
        <v>489</v>
      </c>
      <c r="B312" s="53" t="s">
        <v>478</v>
      </c>
      <c r="C312" s="96">
        <v>20000000</v>
      </c>
      <c r="D312" s="94"/>
      <c r="E312" s="94"/>
      <c r="F312" s="95"/>
      <c r="G312" s="96">
        <v>20700000</v>
      </c>
      <c r="H312" s="94"/>
      <c r="I312" s="94"/>
      <c r="J312" s="95"/>
      <c r="K312" s="96">
        <v>21424500</v>
      </c>
      <c r="L312" s="94"/>
      <c r="M312" s="94"/>
      <c r="N312" s="95"/>
      <c r="O312" s="96">
        <v>22174358</v>
      </c>
      <c r="P312" s="94"/>
      <c r="Q312" s="94"/>
      <c r="R312" s="285"/>
      <c r="S312" s="294">
        <f>SUM(C312:R312)</f>
        <v>84298858</v>
      </c>
      <c r="T312" s="436" t="s">
        <v>397</v>
      </c>
    </row>
    <row r="313" spans="1:20" ht="15">
      <c r="A313" s="617"/>
      <c r="B313" s="366" t="s">
        <v>358</v>
      </c>
      <c r="C313" s="100">
        <v>72754177</v>
      </c>
      <c r="D313" s="98"/>
      <c r="E313" s="98"/>
      <c r="F313" s="99"/>
      <c r="G313" s="100">
        <v>75300573</v>
      </c>
      <c r="H313" s="98"/>
      <c r="I313" s="98"/>
      <c r="J313" s="99"/>
      <c r="K313" s="100">
        <v>77936093</v>
      </c>
      <c r="L313" s="98"/>
      <c r="M313" s="98"/>
      <c r="N313" s="99"/>
      <c r="O313" s="100">
        <v>80663857</v>
      </c>
      <c r="P313" s="98"/>
      <c r="Q313" s="98"/>
      <c r="R313" s="286"/>
      <c r="S313" s="294">
        <f>SUM(C313:R313)</f>
        <v>306654700</v>
      </c>
      <c r="T313" s="436"/>
    </row>
    <row r="314" spans="1:20" ht="15.75" thickBot="1">
      <c r="A314" s="618"/>
      <c r="B314" s="62" t="s">
        <v>344</v>
      </c>
      <c r="C314" s="191"/>
      <c r="D314" s="149">
        <v>10000000</v>
      </c>
      <c r="E314" s="149"/>
      <c r="F314" s="150"/>
      <c r="G314" s="191"/>
      <c r="H314" s="149">
        <v>10350000</v>
      </c>
      <c r="I314" s="149"/>
      <c r="J314" s="150"/>
      <c r="K314" s="191"/>
      <c r="L314" s="149">
        <v>10712250</v>
      </c>
      <c r="M314" s="149"/>
      <c r="N314" s="150"/>
      <c r="O314" s="191"/>
      <c r="P314" s="169">
        <v>11087179</v>
      </c>
      <c r="Q314" s="170"/>
      <c r="R314" s="287"/>
      <c r="S314" s="294">
        <f>SUM(C314:R314)</f>
        <v>42149429</v>
      </c>
      <c r="T314" s="436"/>
    </row>
    <row r="315" spans="1:20" ht="16.5" thickBot="1">
      <c r="A315" s="564" t="s">
        <v>280</v>
      </c>
      <c r="B315" s="565"/>
      <c r="C315" s="226">
        <f>+C305+C306+C307+C308+C309+C310+C312+C313+C314</f>
        <v>136754177</v>
      </c>
      <c r="D315" s="227">
        <f>+D305+D306+D307+D308+D309+D310+D312+D313+D314</f>
        <v>10000000</v>
      </c>
      <c r="E315" s="227">
        <f>+E305+E306+E307+E308+E309+E310+E312+E313+E314</f>
        <v>0</v>
      </c>
      <c r="F315" s="228">
        <f>+F305+F306+F307+F308+F309+F310+F312+F313+F314</f>
        <v>0</v>
      </c>
      <c r="G315" s="226">
        <f>+G305+G306+G307+G308+G309+G310+G312+G313+G314</f>
        <v>133525573</v>
      </c>
      <c r="H315" s="229">
        <f aca="true" t="shared" si="23" ref="H315:R315">+H305+H306+H307+H308+H309+H310+H312+H313+H314</f>
        <v>10350000</v>
      </c>
      <c r="I315" s="229">
        <f t="shared" si="23"/>
        <v>0</v>
      </c>
      <c r="J315" s="233">
        <f t="shared" si="23"/>
        <v>0</v>
      </c>
      <c r="K315" s="226">
        <f t="shared" si="23"/>
        <v>125778968</v>
      </c>
      <c r="L315" s="229">
        <f t="shared" si="23"/>
        <v>10712250</v>
      </c>
      <c r="M315" s="229">
        <f t="shared" si="23"/>
        <v>0</v>
      </c>
      <c r="N315" s="233">
        <f t="shared" si="23"/>
        <v>0</v>
      </c>
      <c r="O315" s="226">
        <f t="shared" si="23"/>
        <v>130181234</v>
      </c>
      <c r="P315" s="229">
        <f t="shared" si="23"/>
        <v>11087179</v>
      </c>
      <c r="Q315" s="229">
        <f t="shared" si="23"/>
        <v>0</v>
      </c>
      <c r="R315" s="258">
        <f t="shared" si="23"/>
        <v>0</v>
      </c>
      <c r="S315" s="539">
        <f>+S304+S311</f>
        <v>568389381</v>
      </c>
      <c r="T315" s="540"/>
    </row>
    <row r="316" spans="1:20" ht="39.75" customHeight="1" thickBot="1">
      <c r="A316" s="699" t="s">
        <v>295</v>
      </c>
      <c r="B316" s="700"/>
      <c r="C316" s="700"/>
      <c r="D316" s="700"/>
      <c r="E316" s="700"/>
      <c r="F316" s="700"/>
      <c r="G316" s="700"/>
      <c r="H316" s="700"/>
      <c r="I316" s="700"/>
      <c r="J316" s="700"/>
      <c r="K316" s="700"/>
      <c r="L316" s="700"/>
      <c r="M316" s="700"/>
      <c r="N316" s="700"/>
      <c r="O316" s="700"/>
      <c r="P316" s="700"/>
      <c r="Q316" s="700"/>
      <c r="R316" s="701"/>
      <c r="S316" s="834"/>
      <c r="T316" s="835"/>
    </row>
    <row r="317" spans="1:20" ht="12.75" customHeight="1">
      <c r="A317" s="684" t="s">
        <v>296</v>
      </c>
      <c r="B317" s="685"/>
      <c r="C317" s="505" t="s">
        <v>81</v>
      </c>
      <c r="D317" s="506"/>
      <c r="E317" s="506"/>
      <c r="F317" s="506"/>
      <c r="G317" s="506"/>
      <c r="H317" s="506"/>
      <c r="I317" s="506"/>
      <c r="J317" s="506"/>
      <c r="K317" s="506"/>
      <c r="L317" s="506"/>
      <c r="M317" s="506"/>
      <c r="N317" s="506"/>
      <c r="O317" s="506"/>
      <c r="P317" s="506"/>
      <c r="Q317" s="506"/>
      <c r="R317" s="506"/>
      <c r="S317" s="836"/>
      <c r="T317" s="837"/>
    </row>
    <row r="318" spans="1:20" ht="12.75" customHeight="1">
      <c r="A318" s="686"/>
      <c r="B318" s="687"/>
      <c r="C318" s="688" t="s">
        <v>142</v>
      </c>
      <c r="D318" s="689"/>
      <c r="E318" s="689"/>
      <c r="F318" s="689"/>
      <c r="G318" s="689"/>
      <c r="H318" s="689"/>
      <c r="I318" s="689"/>
      <c r="J318" s="689"/>
      <c r="K318" s="689"/>
      <c r="L318" s="689"/>
      <c r="M318" s="689"/>
      <c r="N318" s="689"/>
      <c r="O318" s="689"/>
      <c r="P318" s="689"/>
      <c r="Q318" s="689"/>
      <c r="R318" s="690"/>
      <c r="S318" s="836"/>
      <c r="T318" s="837"/>
    </row>
    <row r="319" spans="1:20" ht="12.75" customHeight="1">
      <c r="A319" s="686"/>
      <c r="B319" s="687"/>
      <c r="C319" s="688" t="s">
        <v>479</v>
      </c>
      <c r="D319" s="689"/>
      <c r="E319" s="689"/>
      <c r="F319" s="689"/>
      <c r="G319" s="689"/>
      <c r="H319" s="689"/>
      <c r="I319" s="689"/>
      <c r="J319" s="689"/>
      <c r="K319" s="689"/>
      <c r="L319" s="689"/>
      <c r="M319" s="689"/>
      <c r="N319" s="689"/>
      <c r="O319" s="689"/>
      <c r="P319" s="689"/>
      <c r="Q319" s="689"/>
      <c r="R319" s="690"/>
      <c r="S319" s="836"/>
      <c r="T319" s="837"/>
    </row>
    <row r="320" spans="1:20" ht="12.75" customHeight="1">
      <c r="A320" s="686"/>
      <c r="B320" s="687"/>
      <c r="C320" s="688" t="s">
        <v>431</v>
      </c>
      <c r="D320" s="689"/>
      <c r="E320" s="689"/>
      <c r="F320" s="689"/>
      <c r="G320" s="689"/>
      <c r="H320" s="689"/>
      <c r="I320" s="689"/>
      <c r="J320" s="689"/>
      <c r="K320" s="689"/>
      <c r="L320" s="689"/>
      <c r="M320" s="689"/>
      <c r="N320" s="689"/>
      <c r="O320" s="689"/>
      <c r="P320" s="689"/>
      <c r="Q320" s="689"/>
      <c r="R320" s="690"/>
      <c r="S320" s="836"/>
      <c r="T320" s="837"/>
    </row>
    <row r="321" spans="1:20" ht="12.75" customHeight="1" thickBot="1">
      <c r="A321" s="686"/>
      <c r="B321" s="687"/>
      <c r="C321" s="688" t="s">
        <v>143</v>
      </c>
      <c r="D321" s="689"/>
      <c r="E321" s="689"/>
      <c r="F321" s="689"/>
      <c r="G321" s="689"/>
      <c r="H321" s="689"/>
      <c r="I321" s="689"/>
      <c r="J321" s="689"/>
      <c r="K321" s="689"/>
      <c r="L321" s="689"/>
      <c r="M321" s="689"/>
      <c r="N321" s="689"/>
      <c r="O321" s="689"/>
      <c r="P321" s="689"/>
      <c r="Q321" s="689"/>
      <c r="R321" s="690"/>
      <c r="S321" s="838"/>
      <c r="T321" s="839"/>
    </row>
    <row r="322" spans="1:20" ht="16.5" thickBot="1">
      <c r="A322" s="711" t="s">
        <v>326</v>
      </c>
      <c r="B322" s="712"/>
      <c r="C322" s="713">
        <f>+C323+C331</f>
        <v>1180000000</v>
      </c>
      <c r="D322" s="714"/>
      <c r="E322" s="714"/>
      <c r="F322" s="714"/>
      <c r="G322" s="713">
        <f>+G323+G331</f>
        <v>1124228522</v>
      </c>
      <c r="H322" s="714"/>
      <c r="I322" s="714"/>
      <c r="J322" s="714"/>
      <c r="K322" s="713">
        <f>+K323+K331</f>
        <v>1548494000</v>
      </c>
      <c r="L322" s="714"/>
      <c r="M322" s="714"/>
      <c r="N322" s="714"/>
      <c r="O322" s="713">
        <f>+O323+O331</f>
        <v>308992981</v>
      </c>
      <c r="P322" s="714"/>
      <c r="Q322" s="714"/>
      <c r="R322" s="714"/>
      <c r="S322" s="704">
        <f>SUM(C322:R322)</f>
        <v>4161715503</v>
      </c>
      <c r="T322" s="705"/>
    </row>
    <row r="323" spans="1:20" ht="27" customHeight="1" thickBot="1">
      <c r="A323" s="706" t="s">
        <v>297</v>
      </c>
      <c r="B323" s="707"/>
      <c r="C323" s="715">
        <f>SUM(C324:F330)</f>
        <v>1150000000</v>
      </c>
      <c r="D323" s="716"/>
      <c r="E323" s="716"/>
      <c r="F323" s="717"/>
      <c r="G323" s="716">
        <f>SUM(G324:J330)</f>
        <v>1124228522</v>
      </c>
      <c r="H323" s="716"/>
      <c r="I323" s="716"/>
      <c r="J323" s="717"/>
      <c r="K323" s="716">
        <f>SUM(K324:N330)</f>
        <v>848494000</v>
      </c>
      <c r="L323" s="716"/>
      <c r="M323" s="716"/>
      <c r="N323" s="717"/>
      <c r="O323" s="716">
        <f>SUM(O324:R330)</f>
        <v>308992981</v>
      </c>
      <c r="P323" s="716"/>
      <c r="Q323" s="716"/>
      <c r="R323" s="716"/>
      <c r="S323" s="702">
        <f>SUM(S324:S330)</f>
        <v>3431715503</v>
      </c>
      <c r="T323" s="703"/>
    </row>
    <row r="324" spans="1:20" ht="15">
      <c r="A324" s="461" t="s">
        <v>366</v>
      </c>
      <c r="B324" s="35" t="s">
        <v>116</v>
      </c>
      <c r="C324" s="97">
        <v>210000000</v>
      </c>
      <c r="D324" s="98">
        <v>50000000</v>
      </c>
      <c r="E324" s="98"/>
      <c r="F324" s="99"/>
      <c r="G324" s="100">
        <v>30000000</v>
      </c>
      <c r="H324" s="98">
        <v>200000000</v>
      </c>
      <c r="I324" s="98"/>
      <c r="J324" s="99"/>
      <c r="K324" s="100">
        <v>100000000</v>
      </c>
      <c r="L324" s="98">
        <v>130000000</v>
      </c>
      <c r="M324" s="98"/>
      <c r="N324" s="99"/>
      <c r="O324" s="100">
        <v>10000000</v>
      </c>
      <c r="P324" s="98">
        <v>220000000</v>
      </c>
      <c r="Q324" s="98"/>
      <c r="R324" s="286"/>
      <c r="S324" s="294">
        <f aca="true" t="shared" si="24" ref="S324:S330">SUM(C324:R324)</f>
        <v>950000000</v>
      </c>
      <c r="T324" s="436" t="s">
        <v>391</v>
      </c>
    </row>
    <row r="325" spans="1:20" ht="15">
      <c r="A325" s="554"/>
      <c r="B325" s="31" t="s">
        <v>139</v>
      </c>
      <c r="C325" s="97">
        <v>40000000</v>
      </c>
      <c r="D325" s="98"/>
      <c r="E325" s="98"/>
      <c r="F325" s="99"/>
      <c r="G325" s="100">
        <v>41400000</v>
      </c>
      <c r="H325" s="98"/>
      <c r="I325" s="98"/>
      <c r="J325" s="99"/>
      <c r="K325" s="100">
        <v>42849000</v>
      </c>
      <c r="L325" s="98"/>
      <c r="M325" s="98"/>
      <c r="N325" s="99"/>
      <c r="O325" s="100">
        <v>44348715</v>
      </c>
      <c r="P325" s="98"/>
      <c r="Q325" s="98"/>
      <c r="R325" s="278"/>
      <c r="S325" s="294">
        <f t="shared" si="24"/>
        <v>168597715</v>
      </c>
      <c r="T325" s="436"/>
    </row>
    <row r="326" spans="1:20" ht="15">
      <c r="A326" s="554"/>
      <c r="B326" s="31" t="s">
        <v>359</v>
      </c>
      <c r="C326" s="97">
        <v>30000000</v>
      </c>
      <c r="D326" s="98"/>
      <c r="E326" s="98"/>
      <c r="F326" s="99"/>
      <c r="G326" s="100">
        <v>25828522</v>
      </c>
      <c r="H326" s="98">
        <v>7000000</v>
      </c>
      <c r="I326" s="98"/>
      <c r="J326" s="99"/>
      <c r="K326" s="100">
        <v>30000000</v>
      </c>
      <c r="L326" s="98">
        <v>1445000</v>
      </c>
      <c r="M326" s="98"/>
      <c r="N326" s="99"/>
      <c r="O326" s="100">
        <v>32900691</v>
      </c>
      <c r="P326" s="98">
        <v>1743575</v>
      </c>
      <c r="Q326" s="98"/>
      <c r="R326" s="278"/>
      <c r="S326" s="294">
        <f t="shared" si="24"/>
        <v>128917788</v>
      </c>
      <c r="T326" s="436"/>
    </row>
    <row r="327" spans="1:20" ht="25.5">
      <c r="A327" s="554"/>
      <c r="B327" s="64" t="s">
        <v>117</v>
      </c>
      <c r="C327" s="65">
        <v>630000000</v>
      </c>
      <c r="D327" s="98">
        <v>70000000</v>
      </c>
      <c r="E327" s="98"/>
      <c r="F327" s="99"/>
      <c r="G327" s="100"/>
      <c r="H327" s="98"/>
      <c r="I327" s="98">
        <v>500000000</v>
      </c>
      <c r="J327" s="99"/>
      <c r="K327" s="100"/>
      <c r="L327" s="98"/>
      <c r="M327" s="98"/>
      <c r="N327" s="99"/>
      <c r="O327" s="100"/>
      <c r="P327" s="98"/>
      <c r="Q327" s="98"/>
      <c r="R327" s="286"/>
      <c r="S327" s="294">
        <f t="shared" si="24"/>
        <v>1200000000</v>
      </c>
      <c r="T327" s="436"/>
    </row>
    <row r="328" spans="1:20" ht="25.5">
      <c r="A328" s="554"/>
      <c r="B328" s="31" t="s">
        <v>481</v>
      </c>
      <c r="C328" s="65"/>
      <c r="D328" s="98"/>
      <c r="E328" s="98"/>
      <c r="F328" s="99"/>
      <c r="G328" s="100">
        <v>100000000</v>
      </c>
      <c r="H328" s="98"/>
      <c r="I328" s="98">
        <v>220000000</v>
      </c>
      <c r="J328" s="99"/>
      <c r="K328" s="100"/>
      <c r="L328" s="98"/>
      <c r="M328" s="98"/>
      <c r="N328" s="99"/>
      <c r="O328" s="100"/>
      <c r="P328" s="98"/>
      <c r="Q328" s="98"/>
      <c r="R328" s="278"/>
      <c r="S328" s="294">
        <f t="shared" si="24"/>
        <v>320000000</v>
      </c>
      <c r="T328" s="436"/>
    </row>
    <row r="329" spans="1:20" ht="25.5">
      <c r="A329" s="554"/>
      <c r="B329" s="31" t="s">
        <v>480</v>
      </c>
      <c r="C329" s="65"/>
      <c r="D329" s="98"/>
      <c r="E329" s="98"/>
      <c r="F329" s="99"/>
      <c r="G329" s="83"/>
      <c r="H329" s="81"/>
      <c r="I329" s="81"/>
      <c r="J329" s="82"/>
      <c r="K329" s="100">
        <v>50000000</v>
      </c>
      <c r="L329" s="98"/>
      <c r="M329" s="98">
        <v>370000000</v>
      </c>
      <c r="N329" s="99"/>
      <c r="O329" s="100"/>
      <c r="P329" s="98"/>
      <c r="Q329" s="98"/>
      <c r="R329" s="278"/>
      <c r="S329" s="294">
        <f t="shared" si="24"/>
        <v>420000000</v>
      </c>
      <c r="T329" s="436"/>
    </row>
    <row r="330" spans="1:20" ht="26.25" thickBot="1">
      <c r="A330" s="462"/>
      <c r="B330" s="101" t="s">
        <v>144</v>
      </c>
      <c r="C330" s="97">
        <v>40000000</v>
      </c>
      <c r="D330" s="98">
        <v>80000000</v>
      </c>
      <c r="E330" s="98"/>
      <c r="F330" s="99"/>
      <c r="G330" s="100"/>
      <c r="H330" s="98"/>
      <c r="I330" s="98"/>
      <c r="J330" s="99"/>
      <c r="K330" s="100">
        <v>41400000</v>
      </c>
      <c r="L330" s="98">
        <v>82800000</v>
      </c>
      <c r="M330" s="98"/>
      <c r="N330" s="99"/>
      <c r="O330" s="100"/>
      <c r="P330" s="98"/>
      <c r="Q330" s="98"/>
      <c r="R330" s="278"/>
      <c r="S330" s="294">
        <f t="shared" si="24"/>
        <v>244200000</v>
      </c>
      <c r="T330" s="436"/>
    </row>
    <row r="331" spans="1:20" ht="27" customHeight="1" thickBot="1">
      <c r="A331" s="706" t="s">
        <v>298</v>
      </c>
      <c r="B331" s="707"/>
      <c r="C331" s="708">
        <f>SUM(C332:F332)</f>
        <v>30000000</v>
      </c>
      <c r="D331" s="709"/>
      <c r="E331" s="709"/>
      <c r="F331" s="710"/>
      <c r="G331" s="708">
        <f>SUM(G332:J332)</f>
        <v>0</v>
      </c>
      <c r="H331" s="709"/>
      <c r="I331" s="709"/>
      <c r="J331" s="710"/>
      <c r="K331" s="708">
        <f>SUM(K332:N332)</f>
        <v>700000000</v>
      </c>
      <c r="L331" s="709"/>
      <c r="M331" s="709"/>
      <c r="N331" s="710"/>
      <c r="O331" s="708">
        <f>SUM(O332:R332)</f>
        <v>0</v>
      </c>
      <c r="P331" s="709"/>
      <c r="Q331" s="709"/>
      <c r="R331" s="709"/>
      <c r="S331" s="843">
        <f>SUM(S332)</f>
        <v>730000000</v>
      </c>
      <c r="T331" s="844"/>
    </row>
    <row r="332" spans="1:20" ht="39" thickBot="1">
      <c r="A332" s="33" t="s">
        <v>366</v>
      </c>
      <c r="B332" s="161" t="s">
        <v>504</v>
      </c>
      <c r="C332" s="93">
        <v>30000000</v>
      </c>
      <c r="D332" s="94"/>
      <c r="E332" s="94"/>
      <c r="F332" s="95"/>
      <c r="G332" s="96"/>
      <c r="H332" s="94"/>
      <c r="I332" s="94"/>
      <c r="J332" s="95"/>
      <c r="K332" s="96">
        <v>300000000</v>
      </c>
      <c r="L332" s="94"/>
      <c r="M332" s="94"/>
      <c r="N332" s="95">
        <v>400000000</v>
      </c>
      <c r="O332" s="96"/>
      <c r="P332" s="94"/>
      <c r="Q332" s="94"/>
      <c r="R332" s="288"/>
      <c r="S332" s="296">
        <f>SUM(C332:R332)</f>
        <v>730000000</v>
      </c>
      <c r="T332" s="260" t="s">
        <v>391</v>
      </c>
    </row>
    <row r="333" spans="1:20" ht="16.5" thickBot="1">
      <c r="A333" s="564" t="s">
        <v>280</v>
      </c>
      <c r="B333" s="718"/>
      <c r="C333" s="226">
        <f>+C324+C325+C326+C327+C328+C329+C330+C332</f>
        <v>980000000</v>
      </c>
      <c r="D333" s="227">
        <f aca="true" t="shared" si="25" ref="D333:R333">+D324+D325+D326+D327+D328+D329+D330+D332</f>
        <v>200000000</v>
      </c>
      <c r="E333" s="227">
        <f t="shared" si="25"/>
        <v>0</v>
      </c>
      <c r="F333" s="228">
        <f t="shared" si="25"/>
        <v>0</v>
      </c>
      <c r="G333" s="226">
        <f t="shared" si="25"/>
        <v>197228522</v>
      </c>
      <c r="H333" s="227">
        <f t="shared" si="25"/>
        <v>207000000</v>
      </c>
      <c r="I333" s="227">
        <f t="shared" si="25"/>
        <v>720000000</v>
      </c>
      <c r="J333" s="228">
        <f t="shared" si="25"/>
        <v>0</v>
      </c>
      <c r="K333" s="226">
        <f t="shared" si="25"/>
        <v>564249000</v>
      </c>
      <c r="L333" s="227">
        <f t="shared" si="25"/>
        <v>214245000</v>
      </c>
      <c r="M333" s="227">
        <f t="shared" si="25"/>
        <v>370000000</v>
      </c>
      <c r="N333" s="228">
        <f t="shared" si="25"/>
        <v>400000000</v>
      </c>
      <c r="O333" s="226">
        <f t="shared" si="25"/>
        <v>87249406</v>
      </c>
      <c r="P333" s="227">
        <f t="shared" si="25"/>
        <v>221743575</v>
      </c>
      <c r="Q333" s="227">
        <f t="shared" si="25"/>
        <v>0</v>
      </c>
      <c r="R333" s="228">
        <f t="shared" si="25"/>
        <v>0</v>
      </c>
      <c r="S333" s="662">
        <f>+S323+S331</f>
        <v>4161715503</v>
      </c>
      <c r="T333" s="540"/>
    </row>
    <row r="334" spans="1:20" ht="18" customHeight="1">
      <c r="A334" s="684" t="s">
        <v>309</v>
      </c>
      <c r="B334" s="685"/>
      <c r="C334" s="601" t="s">
        <v>81</v>
      </c>
      <c r="D334" s="507"/>
      <c r="E334" s="507"/>
      <c r="F334" s="507"/>
      <c r="G334" s="507"/>
      <c r="H334" s="507"/>
      <c r="I334" s="507"/>
      <c r="J334" s="507"/>
      <c r="K334" s="507"/>
      <c r="L334" s="507"/>
      <c r="M334" s="507"/>
      <c r="N334" s="507"/>
      <c r="O334" s="507"/>
      <c r="P334" s="507"/>
      <c r="Q334" s="507"/>
      <c r="R334" s="507"/>
      <c r="S334" s="299"/>
      <c r="T334" s="300"/>
    </row>
    <row r="335" spans="1:20" ht="18" customHeight="1" thickBot="1">
      <c r="A335" s="719"/>
      <c r="B335" s="720"/>
      <c r="C335" s="721" t="s">
        <v>308</v>
      </c>
      <c r="D335" s="722"/>
      <c r="E335" s="722"/>
      <c r="F335" s="722"/>
      <c r="G335" s="722"/>
      <c r="H335" s="722"/>
      <c r="I335" s="722"/>
      <c r="J335" s="722"/>
      <c r="K335" s="722"/>
      <c r="L335" s="722"/>
      <c r="M335" s="722"/>
      <c r="N335" s="722"/>
      <c r="O335" s="722"/>
      <c r="P335" s="722"/>
      <c r="Q335" s="722"/>
      <c r="R335" s="722"/>
      <c r="S335" s="303"/>
      <c r="T335" s="304"/>
    </row>
    <row r="336" spans="1:20" ht="16.5" thickBot="1">
      <c r="A336" s="711" t="s">
        <v>327</v>
      </c>
      <c r="B336" s="712"/>
      <c r="C336" s="713">
        <f>+C337</f>
        <v>28000000</v>
      </c>
      <c r="D336" s="714"/>
      <c r="E336" s="714"/>
      <c r="F336" s="714"/>
      <c r="G336" s="713">
        <f>+G337</f>
        <v>60000000</v>
      </c>
      <c r="H336" s="714"/>
      <c r="I336" s="714"/>
      <c r="J336" s="714"/>
      <c r="K336" s="713">
        <f>+K337</f>
        <v>31774500</v>
      </c>
      <c r="L336" s="714"/>
      <c r="M336" s="714"/>
      <c r="N336" s="714"/>
      <c r="O336" s="713">
        <f>+O337</f>
        <v>54311108</v>
      </c>
      <c r="P336" s="714"/>
      <c r="Q336" s="714"/>
      <c r="R336" s="714"/>
      <c r="S336" s="704">
        <f>SUM(C336:R336)</f>
        <v>174085608</v>
      </c>
      <c r="T336" s="705"/>
    </row>
    <row r="337" spans="1:20" ht="27" customHeight="1" thickBot="1">
      <c r="A337" s="729" t="s">
        <v>310</v>
      </c>
      <c r="B337" s="730"/>
      <c r="C337" s="708">
        <f>SUM(C338:F340)</f>
        <v>28000000</v>
      </c>
      <c r="D337" s="709"/>
      <c r="E337" s="709"/>
      <c r="F337" s="710"/>
      <c r="G337" s="708">
        <f>SUM(G338:J340)</f>
        <v>60000000</v>
      </c>
      <c r="H337" s="709"/>
      <c r="I337" s="709"/>
      <c r="J337" s="710"/>
      <c r="K337" s="708">
        <f>SUM(K338:N340)</f>
        <v>31774500</v>
      </c>
      <c r="L337" s="709"/>
      <c r="M337" s="709"/>
      <c r="N337" s="710"/>
      <c r="O337" s="708">
        <f>SUM(O338:R340)</f>
        <v>54311108</v>
      </c>
      <c r="P337" s="709"/>
      <c r="Q337" s="709"/>
      <c r="R337" s="710"/>
      <c r="S337" s="843">
        <f>SUM(S338:S340)</f>
        <v>174085608</v>
      </c>
      <c r="T337" s="844"/>
    </row>
    <row r="338" spans="1:20" ht="38.25">
      <c r="A338" s="438" t="s">
        <v>365</v>
      </c>
      <c r="B338" s="433" t="s">
        <v>486</v>
      </c>
      <c r="C338" s="432">
        <v>20000000</v>
      </c>
      <c r="D338" s="396"/>
      <c r="E338" s="396"/>
      <c r="F338" s="397"/>
      <c r="G338" s="395"/>
      <c r="H338" s="396"/>
      <c r="I338" s="396"/>
      <c r="J338" s="397"/>
      <c r="K338" s="395">
        <v>21424500</v>
      </c>
      <c r="L338" s="396"/>
      <c r="M338" s="396"/>
      <c r="N338" s="397"/>
      <c r="O338" s="395"/>
      <c r="P338" s="396"/>
      <c r="Q338" s="396"/>
      <c r="R338" s="397"/>
      <c r="S338" s="408">
        <f>SUM(C338:R338)</f>
        <v>41424500</v>
      </c>
      <c r="T338" s="435" t="s">
        <v>391</v>
      </c>
    </row>
    <row r="339" spans="1:20" ht="38.25">
      <c r="A339" s="439"/>
      <c r="B339" s="54" t="s">
        <v>487</v>
      </c>
      <c r="C339" s="398"/>
      <c r="D339" s="399"/>
      <c r="E339" s="399"/>
      <c r="F339" s="400"/>
      <c r="G339" s="401">
        <v>30000000</v>
      </c>
      <c r="H339" s="399"/>
      <c r="I339" s="399"/>
      <c r="J339" s="400"/>
      <c r="K339" s="401"/>
      <c r="L339" s="399"/>
      <c r="M339" s="399"/>
      <c r="N339" s="400"/>
      <c r="O339" s="401">
        <v>22174358</v>
      </c>
      <c r="P339" s="399"/>
      <c r="Q339" s="399"/>
      <c r="R339" s="400"/>
      <c r="S339" s="409">
        <f>SUM(C339:R339)</f>
        <v>52174358</v>
      </c>
      <c r="T339" s="436"/>
    </row>
    <row r="340" spans="1:20" ht="51.75" thickBot="1">
      <c r="A340" s="440"/>
      <c r="B340" s="377" t="s">
        <v>345</v>
      </c>
      <c r="C340" s="375">
        <v>8000000</v>
      </c>
      <c r="D340" s="170"/>
      <c r="E340" s="170"/>
      <c r="F340" s="376"/>
      <c r="G340" s="169">
        <v>30000000</v>
      </c>
      <c r="H340" s="170"/>
      <c r="I340" s="170"/>
      <c r="J340" s="376"/>
      <c r="K340" s="169">
        <v>10350000</v>
      </c>
      <c r="L340" s="170"/>
      <c r="M340" s="170"/>
      <c r="N340" s="376"/>
      <c r="O340" s="169">
        <v>32136750</v>
      </c>
      <c r="P340" s="170"/>
      <c r="Q340" s="170"/>
      <c r="R340" s="376"/>
      <c r="S340" s="410">
        <f>SUM(C340:R340)</f>
        <v>80486750</v>
      </c>
      <c r="T340" s="437"/>
    </row>
    <row r="341" spans="1:20" ht="16.5" customHeight="1" thickBot="1">
      <c r="A341" s="564" t="s">
        <v>280</v>
      </c>
      <c r="B341" s="565"/>
      <c r="C341" s="226">
        <f>SUM(C338:C340)</f>
        <v>28000000</v>
      </c>
      <c r="D341" s="227">
        <f aca="true" t="shared" si="26" ref="D341:R341">SUM(D338:D340)</f>
        <v>0</v>
      </c>
      <c r="E341" s="227">
        <f t="shared" si="26"/>
        <v>0</v>
      </c>
      <c r="F341" s="228">
        <f t="shared" si="26"/>
        <v>0</v>
      </c>
      <c r="G341" s="226">
        <f t="shared" si="26"/>
        <v>60000000</v>
      </c>
      <c r="H341" s="227">
        <f t="shared" si="26"/>
        <v>0</v>
      </c>
      <c r="I341" s="227">
        <f t="shared" si="26"/>
        <v>0</v>
      </c>
      <c r="J341" s="228">
        <f t="shared" si="26"/>
        <v>0</v>
      </c>
      <c r="K341" s="226">
        <f t="shared" si="26"/>
        <v>31774500</v>
      </c>
      <c r="L341" s="227">
        <f t="shared" si="26"/>
        <v>0</v>
      </c>
      <c r="M341" s="227">
        <f t="shared" si="26"/>
        <v>0</v>
      </c>
      <c r="N341" s="228">
        <f t="shared" si="26"/>
        <v>0</v>
      </c>
      <c r="O341" s="226">
        <f t="shared" si="26"/>
        <v>54311108</v>
      </c>
      <c r="P341" s="227">
        <f t="shared" si="26"/>
        <v>0</v>
      </c>
      <c r="Q341" s="227">
        <f t="shared" si="26"/>
        <v>0</v>
      </c>
      <c r="R341" s="228">
        <f t="shared" si="26"/>
        <v>0</v>
      </c>
      <c r="S341" s="662">
        <f>+S337</f>
        <v>174085608</v>
      </c>
      <c r="T341" s="540"/>
    </row>
    <row r="342" spans="1:20" ht="21" customHeight="1">
      <c r="A342" s="568"/>
      <c r="B342" s="569"/>
      <c r="C342" s="723">
        <v>2012</v>
      </c>
      <c r="D342" s="724"/>
      <c r="E342" s="724"/>
      <c r="F342" s="725"/>
      <c r="G342" s="723">
        <v>2013</v>
      </c>
      <c r="H342" s="724"/>
      <c r="I342" s="724"/>
      <c r="J342" s="725"/>
      <c r="K342" s="723">
        <v>2014</v>
      </c>
      <c r="L342" s="724"/>
      <c r="M342" s="724"/>
      <c r="N342" s="725"/>
      <c r="O342" s="723">
        <v>2015</v>
      </c>
      <c r="P342" s="724"/>
      <c r="Q342" s="724"/>
      <c r="R342" s="726"/>
      <c r="S342" s="691" t="s">
        <v>386</v>
      </c>
      <c r="T342" s="693" t="s">
        <v>403</v>
      </c>
    </row>
    <row r="343" spans="1:20" ht="27" customHeight="1" thickBot="1">
      <c r="A343" s="247" t="s">
        <v>0</v>
      </c>
      <c r="B343" s="248" t="s">
        <v>284</v>
      </c>
      <c r="C343" s="249" t="s">
        <v>1</v>
      </c>
      <c r="D343" s="250" t="s">
        <v>2</v>
      </c>
      <c r="E343" s="250" t="s">
        <v>3</v>
      </c>
      <c r="F343" s="251" t="s">
        <v>4</v>
      </c>
      <c r="G343" s="249" t="s">
        <v>1</v>
      </c>
      <c r="H343" s="250" t="s">
        <v>2</v>
      </c>
      <c r="I343" s="250" t="s">
        <v>3</v>
      </c>
      <c r="J343" s="251" t="s">
        <v>4</v>
      </c>
      <c r="K343" s="249" t="s">
        <v>1</v>
      </c>
      <c r="L343" s="250" t="s">
        <v>2</v>
      </c>
      <c r="M343" s="250" t="s">
        <v>3</v>
      </c>
      <c r="N343" s="251" t="s">
        <v>4</v>
      </c>
      <c r="O343" s="249" t="s">
        <v>1</v>
      </c>
      <c r="P343" s="250" t="s">
        <v>2</v>
      </c>
      <c r="Q343" s="250" t="s">
        <v>3</v>
      </c>
      <c r="R343" s="266" t="s">
        <v>4</v>
      </c>
      <c r="S343" s="692"/>
      <c r="T343" s="694"/>
    </row>
    <row r="344" spans="1:20" ht="39.75" customHeight="1" thickBot="1">
      <c r="A344" s="727" t="s">
        <v>299</v>
      </c>
      <c r="B344" s="728"/>
      <c r="C344" s="728"/>
      <c r="D344" s="728"/>
      <c r="E344" s="728"/>
      <c r="F344" s="728"/>
      <c r="G344" s="728"/>
      <c r="H344" s="728"/>
      <c r="I344" s="728"/>
      <c r="J344" s="728"/>
      <c r="K344" s="728"/>
      <c r="L344" s="728"/>
      <c r="M344" s="728"/>
      <c r="N344" s="728"/>
      <c r="O344" s="728"/>
      <c r="P344" s="728"/>
      <c r="Q344" s="728"/>
      <c r="R344" s="728"/>
      <c r="S344" s="306"/>
      <c r="T344" s="302"/>
    </row>
    <row r="345" spans="1:20" ht="18" customHeight="1">
      <c r="A345" s="739" t="s">
        <v>352</v>
      </c>
      <c r="B345" s="740"/>
      <c r="C345" s="743" t="s">
        <v>5</v>
      </c>
      <c r="D345" s="743"/>
      <c r="E345" s="743"/>
      <c r="F345" s="743"/>
      <c r="G345" s="743"/>
      <c r="H345" s="743"/>
      <c r="I345" s="743"/>
      <c r="J345" s="743"/>
      <c r="K345" s="743"/>
      <c r="L345" s="743"/>
      <c r="M345" s="743"/>
      <c r="N345" s="743"/>
      <c r="O345" s="743"/>
      <c r="P345" s="743"/>
      <c r="Q345" s="743"/>
      <c r="R345" s="743"/>
      <c r="S345" s="301"/>
      <c r="T345" s="302"/>
    </row>
    <row r="346" spans="1:20" ht="18" customHeight="1" thickBot="1">
      <c r="A346" s="741"/>
      <c r="B346" s="742"/>
      <c r="C346" s="744" t="s">
        <v>183</v>
      </c>
      <c r="D346" s="744"/>
      <c r="E346" s="744"/>
      <c r="F346" s="744"/>
      <c r="G346" s="744"/>
      <c r="H346" s="744"/>
      <c r="I346" s="744"/>
      <c r="J346" s="744"/>
      <c r="K346" s="744"/>
      <c r="L346" s="744"/>
      <c r="M346" s="744"/>
      <c r="N346" s="744"/>
      <c r="O346" s="744"/>
      <c r="P346" s="744"/>
      <c r="Q346" s="744"/>
      <c r="R346" s="744"/>
      <c r="S346" s="303"/>
      <c r="T346" s="302"/>
    </row>
    <row r="347" spans="1:20" ht="16.5" thickBot="1">
      <c r="A347" s="745" t="s">
        <v>364</v>
      </c>
      <c r="B347" s="746"/>
      <c r="C347" s="747">
        <f>+C348+C354+C361+C364+C367</f>
        <v>565723333</v>
      </c>
      <c r="D347" s="748"/>
      <c r="E347" s="748"/>
      <c r="F347" s="748"/>
      <c r="G347" s="747">
        <f>+G348+G354+G361+G364+G367</f>
        <v>447953649</v>
      </c>
      <c r="H347" s="748"/>
      <c r="I347" s="748"/>
      <c r="J347" s="748"/>
      <c r="K347" s="747">
        <f>+K348+K354+K361+K364+K367</f>
        <v>328382028</v>
      </c>
      <c r="L347" s="748"/>
      <c r="M347" s="748"/>
      <c r="N347" s="748"/>
      <c r="O347" s="747">
        <f>+O348+O354+O361+O364+O367</f>
        <v>462873745</v>
      </c>
      <c r="P347" s="748"/>
      <c r="Q347" s="748"/>
      <c r="R347" s="748"/>
      <c r="S347" s="757">
        <f>SUM(C347:R347)</f>
        <v>1804932755</v>
      </c>
      <c r="T347" s="758"/>
    </row>
    <row r="348" spans="1:20" ht="27" customHeight="1" thickBot="1">
      <c r="A348" s="731" t="s">
        <v>418</v>
      </c>
      <c r="B348" s="732"/>
      <c r="C348" s="733">
        <f>SUM(C349:F353)</f>
        <v>357000000</v>
      </c>
      <c r="D348" s="734"/>
      <c r="E348" s="734"/>
      <c r="F348" s="735"/>
      <c r="G348" s="733">
        <f>SUM(G349:J353)</f>
        <v>186300000</v>
      </c>
      <c r="H348" s="734"/>
      <c r="I348" s="734"/>
      <c r="J348" s="735"/>
      <c r="K348" s="733">
        <f>SUM(K349:N353)</f>
        <v>192820500</v>
      </c>
      <c r="L348" s="734"/>
      <c r="M348" s="734"/>
      <c r="N348" s="735"/>
      <c r="O348" s="733">
        <f>SUM(O349:R353)</f>
        <v>199569217</v>
      </c>
      <c r="P348" s="734"/>
      <c r="Q348" s="734"/>
      <c r="R348" s="734"/>
      <c r="S348" s="759">
        <f>SUM(S349:S353)</f>
        <v>935689717</v>
      </c>
      <c r="T348" s="760"/>
    </row>
    <row r="349" spans="1:20" ht="25.5">
      <c r="A349" s="736" t="s">
        <v>346</v>
      </c>
      <c r="B349" s="102" t="s">
        <v>184</v>
      </c>
      <c r="C349" s="103">
        <v>30000000</v>
      </c>
      <c r="D349" s="104"/>
      <c r="E349" s="104"/>
      <c r="F349" s="105"/>
      <c r="G349" s="106"/>
      <c r="H349" s="104"/>
      <c r="I349" s="104"/>
      <c r="J349" s="105"/>
      <c r="K349" s="106"/>
      <c r="L349" s="104"/>
      <c r="M349" s="104"/>
      <c r="N349" s="105"/>
      <c r="O349" s="106"/>
      <c r="P349" s="104"/>
      <c r="Q349" s="104"/>
      <c r="R349" s="289"/>
      <c r="S349" s="294">
        <f>SUM(C349:R349)</f>
        <v>30000000</v>
      </c>
      <c r="T349" s="436" t="s">
        <v>398</v>
      </c>
    </row>
    <row r="350" spans="1:20" ht="51">
      <c r="A350" s="737"/>
      <c r="B350" s="107" t="s">
        <v>185</v>
      </c>
      <c r="C350" s="108">
        <v>30000000</v>
      </c>
      <c r="D350" s="109"/>
      <c r="E350" s="109"/>
      <c r="F350" s="110"/>
      <c r="G350" s="111">
        <v>31050000</v>
      </c>
      <c r="H350" s="109"/>
      <c r="I350" s="109"/>
      <c r="J350" s="110"/>
      <c r="K350" s="111">
        <v>32136750</v>
      </c>
      <c r="L350" s="109"/>
      <c r="M350" s="109"/>
      <c r="N350" s="110"/>
      <c r="O350" s="111">
        <v>33261536</v>
      </c>
      <c r="P350" s="109"/>
      <c r="Q350" s="109"/>
      <c r="R350" s="290"/>
      <c r="S350" s="294">
        <f>SUM(C350:R350)</f>
        <v>126448286</v>
      </c>
      <c r="T350" s="436"/>
    </row>
    <row r="351" spans="1:20" ht="25.5">
      <c r="A351" s="737"/>
      <c r="B351" s="107" t="s">
        <v>186</v>
      </c>
      <c r="C351" s="108">
        <v>70000000</v>
      </c>
      <c r="D351" s="109"/>
      <c r="E351" s="109"/>
      <c r="F351" s="110"/>
      <c r="G351" s="111"/>
      <c r="H351" s="109"/>
      <c r="I351" s="109"/>
      <c r="J351" s="110"/>
      <c r="K351" s="111"/>
      <c r="L351" s="109"/>
      <c r="M351" s="109"/>
      <c r="N351" s="110"/>
      <c r="O351" s="111"/>
      <c r="P351" s="109"/>
      <c r="Q351" s="109"/>
      <c r="R351" s="290"/>
      <c r="S351" s="294">
        <f>SUM(C351:R351)</f>
        <v>70000000</v>
      </c>
      <c r="T351" s="436"/>
    </row>
    <row r="352" spans="1:20" ht="15">
      <c r="A352" s="738"/>
      <c r="B352" s="112" t="s">
        <v>503</v>
      </c>
      <c r="C352" s="113">
        <v>32000000</v>
      </c>
      <c r="D352" s="114"/>
      <c r="E352" s="114"/>
      <c r="F352" s="115">
        <v>50000000</v>
      </c>
      <c r="G352" s="116"/>
      <c r="H352" s="114"/>
      <c r="I352" s="114"/>
      <c r="J352" s="115"/>
      <c r="K352" s="116"/>
      <c r="L352" s="114"/>
      <c r="M352" s="114"/>
      <c r="N352" s="115"/>
      <c r="O352" s="116"/>
      <c r="P352" s="114"/>
      <c r="Q352" s="114"/>
      <c r="R352" s="140"/>
      <c r="S352" s="294">
        <f>SUM(C352:R352)</f>
        <v>82000000</v>
      </c>
      <c r="T352" s="436"/>
    </row>
    <row r="353" spans="1:20" ht="26.25" thickBot="1">
      <c r="A353" s="738"/>
      <c r="B353" s="112" t="s">
        <v>187</v>
      </c>
      <c r="C353" s="113">
        <v>145000000</v>
      </c>
      <c r="D353" s="114"/>
      <c r="E353" s="114"/>
      <c r="F353" s="115"/>
      <c r="G353" s="116">
        <v>155250000</v>
      </c>
      <c r="H353" s="114"/>
      <c r="I353" s="114"/>
      <c r="J353" s="115"/>
      <c r="K353" s="116">
        <v>160683750</v>
      </c>
      <c r="L353" s="114"/>
      <c r="M353" s="114"/>
      <c r="N353" s="115"/>
      <c r="O353" s="116">
        <v>166307681</v>
      </c>
      <c r="P353" s="114"/>
      <c r="Q353" s="114"/>
      <c r="R353" s="140"/>
      <c r="S353" s="294">
        <f>SUM(C353:R353)</f>
        <v>627241431</v>
      </c>
      <c r="T353" s="436"/>
    </row>
    <row r="354" spans="1:20" ht="27" customHeight="1" thickBot="1">
      <c r="A354" s="749" t="s">
        <v>419</v>
      </c>
      <c r="B354" s="750"/>
      <c r="C354" s="751">
        <f>SUM(C355:F360)</f>
        <v>110000000</v>
      </c>
      <c r="D354" s="752"/>
      <c r="E354" s="752"/>
      <c r="F354" s="753"/>
      <c r="G354" s="754">
        <f>SUM(G355:J360)</f>
        <v>216400000</v>
      </c>
      <c r="H354" s="752"/>
      <c r="I354" s="752"/>
      <c r="J354" s="753"/>
      <c r="K354" s="754">
        <f>SUM(K355:N360)</f>
        <v>68724000</v>
      </c>
      <c r="L354" s="752"/>
      <c r="M354" s="752"/>
      <c r="N354" s="753"/>
      <c r="O354" s="754">
        <f>SUM(O355:R360)</f>
        <v>79827687</v>
      </c>
      <c r="P354" s="752"/>
      <c r="Q354" s="752"/>
      <c r="R354" s="752"/>
      <c r="S354" s="759">
        <f>SUM(S355:S360)</f>
        <v>474951687</v>
      </c>
      <c r="T354" s="760"/>
    </row>
    <row r="355" spans="1:20" ht="25.5">
      <c r="A355" s="736" t="s">
        <v>346</v>
      </c>
      <c r="B355" s="117" t="s">
        <v>188</v>
      </c>
      <c r="C355" s="103">
        <v>40000000</v>
      </c>
      <c r="D355" s="104"/>
      <c r="E355" s="104"/>
      <c r="F355" s="105"/>
      <c r="G355" s="106">
        <v>41400000</v>
      </c>
      <c r="H355" s="104"/>
      <c r="I355" s="104"/>
      <c r="J355" s="105"/>
      <c r="K355" s="106">
        <v>42849000</v>
      </c>
      <c r="L355" s="104"/>
      <c r="M355" s="104"/>
      <c r="N355" s="105"/>
      <c r="O355" s="106">
        <v>44348715</v>
      </c>
      <c r="P355" s="104"/>
      <c r="Q355" s="104"/>
      <c r="R355" s="289"/>
      <c r="S355" s="294">
        <f aca="true" t="shared" si="27" ref="S355:S360">SUM(C355:R355)</f>
        <v>168597715</v>
      </c>
      <c r="T355" s="260" t="s">
        <v>399</v>
      </c>
    </row>
    <row r="356" spans="1:20" ht="25.5">
      <c r="A356" s="737"/>
      <c r="B356" s="118" t="s">
        <v>189</v>
      </c>
      <c r="C356" s="108">
        <v>10000000</v>
      </c>
      <c r="D356" s="109"/>
      <c r="E356" s="109"/>
      <c r="F356" s="110"/>
      <c r="G356" s="111"/>
      <c r="H356" s="109"/>
      <c r="I356" s="109"/>
      <c r="J356" s="110"/>
      <c r="K356" s="111"/>
      <c r="L356" s="109"/>
      <c r="M356" s="109"/>
      <c r="N356" s="110"/>
      <c r="O356" s="111">
        <v>11087179</v>
      </c>
      <c r="P356" s="109"/>
      <c r="Q356" s="109"/>
      <c r="R356" s="290"/>
      <c r="S356" s="294">
        <f t="shared" si="27"/>
        <v>21087179</v>
      </c>
      <c r="T356" s="260" t="s">
        <v>400</v>
      </c>
    </row>
    <row r="357" spans="1:20" ht="25.5">
      <c r="A357" s="737"/>
      <c r="B357" s="118" t="s">
        <v>190</v>
      </c>
      <c r="C357" s="108">
        <f>18000000+15000000+5000000</f>
        <v>38000000</v>
      </c>
      <c r="D357" s="109"/>
      <c r="E357" s="109"/>
      <c r="F357" s="110"/>
      <c r="G357" s="111"/>
      <c r="H357" s="109"/>
      <c r="I357" s="109"/>
      <c r="J357" s="110"/>
      <c r="K357" s="111"/>
      <c r="L357" s="109"/>
      <c r="M357" s="109"/>
      <c r="N357" s="110"/>
      <c r="O357" s="111"/>
      <c r="P357" s="109"/>
      <c r="Q357" s="109"/>
      <c r="R357" s="290"/>
      <c r="S357" s="294">
        <f t="shared" si="27"/>
        <v>38000000</v>
      </c>
      <c r="T357" s="260" t="s">
        <v>402</v>
      </c>
    </row>
    <row r="358" spans="1:20" ht="25.5">
      <c r="A358" s="737"/>
      <c r="B358" s="118" t="s">
        <v>191</v>
      </c>
      <c r="C358" s="108">
        <v>22000000</v>
      </c>
      <c r="D358" s="109"/>
      <c r="E358" s="109"/>
      <c r="F358" s="110"/>
      <c r="G358" s="111"/>
      <c r="H358" s="109"/>
      <c r="I358" s="109"/>
      <c r="J358" s="110"/>
      <c r="K358" s="111"/>
      <c r="L358" s="109"/>
      <c r="M358" s="109"/>
      <c r="N358" s="110"/>
      <c r="O358" s="111">
        <v>24391793</v>
      </c>
      <c r="P358" s="109"/>
      <c r="Q358" s="109"/>
      <c r="R358" s="290"/>
      <c r="S358" s="294">
        <f t="shared" si="27"/>
        <v>46391793</v>
      </c>
      <c r="T358" s="260" t="s">
        <v>400</v>
      </c>
    </row>
    <row r="359" spans="1:20" ht="25.5">
      <c r="A359" s="737"/>
      <c r="B359" s="119" t="s">
        <v>192</v>
      </c>
      <c r="C359" s="108"/>
      <c r="D359" s="109"/>
      <c r="E359" s="109"/>
      <c r="F359" s="110"/>
      <c r="G359" s="111">
        <v>25000000</v>
      </c>
      <c r="H359" s="109"/>
      <c r="I359" s="109"/>
      <c r="J359" s="110"/>
      <c r="K359" s="111">
        <v>25875000</v>
      </c>
      <c r="L359" s="109"/>
      <c r="M359" s="109"/>
      <c r="N359" s="110"/>
      <c r="O359" s="111"/>
      <c r="P359" s="109"/>
      <c r="Q359" s="109"/>
      <c r="R359" s="290"/>
      <c r="S359" s="294">
        <f t="shared" si="27"/>
        <v>50875000</v>
      </c>
      <c r="T359" s="260" t="s">
        <v>402</v>
      </c>
    </row>
    <row r="360" spans="1:20" ht="26.25" thickBot="1">
      <c r="A360" s="738"/>
      <c r="B360" s="119" t="s">
        <v>193</v>
      </c>
      <c r="C360" s="113"/>
      <c r="D360" s="114"/>
      <c r="E360" s="114"/>
      <c r="F360" s="115"/>
      <c r="G360" s="116">
        <v>150000000</v>
      </c>
      <c r="H360" s="114"/>
      <c r="I360" s="114"/>
      <c r="J360" s="115"/>
      <c r="K360" s="116"/>
      <c r="L360" s="114"/>
      <c r="M360" s="114"/>
      <c r="N360" s="115"/>
      <c r="O360" s="116"/>
      <c r="P360" s="114"/>
      <c r="Q360" s="114"/>
      <c r="R360" s="140"/>
      <c r="S360" s="294">
        <f t="shared" si="27"/>
        <v>150000000</v>
      </c>
      <c r="T360" s="260" t="s">
        <v>401</v>
      </c>
    </row>
    <row r="361" spans="1:20" ht="27" customHeight="1" thickBot="1">
      <c r="A361" s="749" t="s">
        <v>420</v>
      </c>
      <c r="B361" s="750"/>
      <c r="C361" s="751">
        <f>SUM(C362:F363)</f>
        <v>2000000</v>
      </c>
      <c r="D361" s="752"/>
      <c r="E361" s="752"/>
      <c r="F361" s="753"/>
      <c r="G361" s="754">
        <f>SUM(G362:J363)</f>
        <v>2070000</v>
      </c>
      <c r="H361" s="752"/>
      <c r="I361" s="752"/>
      <c r="J361" s="753"/>
      <c r="K361" s="754">
        <f>SUM(K362:N363)</f>
        <v>22142450</v>
      </c>
      <c r="L361" s="752"/>
      <c r="M361" s="752"/>
      <c r="N361" s="753"/>
      <c r="O361" s="754">
        <f>SUM(O362:R363)</f>
        <v>2217436</v>
      </c>
      <c r="P361" s="752"/>
      <c r="Q361" s="752"/>
      <c r="R361" s="752"/>
      <c r="S361" s="759">
        <f>SUM(S362:S363)</f>
        <v>28429886</v>
      </c>
      <c r="T361" s="760"/>
    </row>
    <row r="362" spans="1:20" ht="25.5">
      <c r="A362" s="755" t="s">
        <v>346</v>
      </c>
      <c r="B362" s="117" t="s">
        <v>146</v>
      </c>
      <c r="C362" s="120"/>
      <c r="D362" s="121"/>
      <c r="E362" s="121"/>
      <c r="F362" s="122"/>
      <c r="G362" s="123"/>
      <c r="H362" s="121"/>
      <c r="I362" s="121"/>
      <c r="J362" s="122"/>
      <c r="K362" s="123">
        <v>20000000</v>
      </c>
      <c r="L362" s="121"/>
      <c r="M362" s="121"/>
      <c r="N362" s="122"/>
      <c r="O362" s="123"/>
      <c r="P362" s="121"/>
      <c r="Q362" s="121"/>
      <c r="R362" s="132"/>
      <c r="S362" s="294">
        <f>SUM(C362:R362)</f>
        <v>20000000</v>
      </c>
      <c r="T362" s="260" t="s">
        <v>402</v>
      </c>
    </row>
    <row r="363" spans="1:20" ht="39" thickBot="1">
      <c r="A363" s="756"/>
      <c r="B363" s="119" t="s">
        <v>145</v>
      </c>
      <c r="C363" s="124">
        <v>2000000</v>
      </c>
      <c r="D363" s="125"/>
      <c r="E363" s="125"/>
      <c r="F363" s="126"/>
      <c r="G363" s="127">
        <v>2070000</v>
      </c>
      <c r="H363" s="125"/>
      <c r="I363" s="125"/>
      <c r="J363" s="126"/>
      <c r="K363" s="127">
        <v>2142450</v>
      </c>
      <c r="L363" s="125"/>
      <c r="M363" s="125"/>
      <c r="N363" s="126"/>
      <c r="O363" s="127">
        <v>2217436</v>
      </c>
      <c r="P363" s="125"/>
      <c r="Q363" s="125"/>
      <c r="R363" s="291"/>
      <c r="S363" s="294">
        <f>SUM(C363:R363)</f>
        <v>8429886</v>
      </c>
      <c r="T363" s="260" t="s">
        <v>399</v>
      </c>
    </row>
    <row r="364" spans="1:20" ht="27" customHeight="1" thickBot="1">
      <c r="A364" s="749" t="s">
        <v>421</v>
      </c>
      <c r="B364" s="750"/>
      <c r="C364" s="751">
        <f>SUM(C365:F366)</f>
        <v>55000000</v>
      </c>
      <c r="D364" s="752"/>
      <c r="E364" s="752"/>
      <c r="F364" s="753"/>
      <c r="G364" s="751">
        <f>SUM(G365:J366)</f>
        <v>0</v>
      </c>
      <c r="H364" s="752"/>
      <c r="I364" s="752"/>
      <c r="J364" s="753"/>
      <c r="K364" s="751">
        <f>SUM(K365:N366)</f>
        <v>0</v>
      </c>
      <c r="L364" s="752"/>
      <c r="M364" s="752"/>
      <c r="N364" s="753"/>
      <c r="O364" s="751">
        <f>SUM(O365:R366)</f>
        <v>135000000</v>
      </c>
      <c r="P364" s="752"/>
      <c r="Q364" s="752"/>
      <c r="R364" s="752"/>
      <c r="S364" s="759">
        <f>SUM(S365:S366)</f>
        <v>190000000</v>
      </c>
      <c r="T364" s="760"/>
    </row>
    <row r="365" spans="1:20" ht="38.25">
      <c r="A365" s="755" t="s">
        <v>346</v>
      </c>
      <c r="B365" s="171" t="s">
        <v>194</v>
      </c>
      <c r="C365" s="128">
        <v>20000000</v>
      </c>
      <c r="D365" s="129"/>
      <c r="E365" s="129"/>
      <c r="F365" s="130"/>
      <c r="G365" s="131"/>
      <c r="H365" s="129"/>
      <c r="I365" s="129"/>
      <c r="J365" s="130"/>
      <c r="K365" s="131"/>
      <c r="L365" s="129"/>
      <c r="M365" s="129"/>
      <c r="N365" s="130"/>
      <c r="O365" s="131"/>
      <c r="P365" s="129"/>
      <c r="Q365" s="129"/>
      <c r="R365" s="292"/>
      <c r="S365" s="294">
        <f>SUM(C365:R365)</f>
        <v>20000000</v>
      </c>
      <c r="T365" s="260" t="s">
        <v>402</v>
      </c>
    </row>
    <row r="366" spans="1:20" ht="26.25" thickBot="1">
      <c r="A366" s="756"/>
      <c r="B366" s="238" t="s">
        <v>432</v>
      </c>
      <c r="C366" s="239">
        <v>35000000</v>
      </c>
      <c r="D366" s="240"/>
      <c r="E366" s="240"/>
      <c r="F366" s="241"/>
      <c r="G366" s="239"/>
      <c r="H366" s="240"/>
      <c r="I366" s="240"/>
      <c r="J366" s="241"/>
      <c r="K366" s="239"/>
      <c r="L366" s="240"/>
      <c r="M366" s="240"/>
      <c r="N366" s="241"/>
      <c r="O366" s="239">
        <v>135000000</v>
      </c>
      <c r="P366" s="240"/>
      <c r="Q366" s="240"/>
      <c r="R366" s="293"/>
      <c r="S366" s="294">
        <f>SUM(C366:R366)</f>
        <v>170000000</v>
      </c>
      <c r="T366" s="260" t="s">
        <v>399</v>
      </c>
    </row>
    <row r="367" spans="1:20" ht="27" customHeight="1" thickBot="1">
      <c r="A367" s="749" t="s">
        <v>422</v>
      </c>
      <c r="B367" s="750"/>
      <c r="C367" s="754">
        <f>SUM(C368:F372)</f>
        <v>41723333</v>
      </c>
      <c r="D367" s="752"/>
      <c r="E367" s="752"/>
      <c r="F367" s="753"/>
      <c r="G367" s="754">
        <f>SUM(G368:J372)</f>
        <v>43183649</v>
      </c>
      <c r="H367" s="752"/>
      <c r="I367" s="752"/>
      <c r="J367" s="753"/>
      <c r="K367" s="754">
        <f>SUM(K368:N372)</f>
        <v>44695078</v>
      </c>
      <c r="L367" s="752"/>
      <c r="M367" s="752"/>
      <c r="N367" s="753"/>
      <c r="O367" s="754">
        <f>SUM(O368:R372)</f>
        <v>46259405</v>
      </c>
      <c r="P367" s="752"/>
      <c r="Q367" s="752"/>
      <c r="R367" s="753"/>
      <c r="S367" s="840">
        <f>SUM(S368:S372)</f>
        <v>175861465</v>
      </c>
      <c r="T367" s="760"/>
    </row>
    <row r="368" spans="1:20" ht="15">
      <c r="A368" s="755" t="s">
        <v>346</v>
      </c>
      <c r="B368" s="175" t="s">
        <v>347</v>
      </c>
      <c r="C368" s="131">
        <v>14815555</v>
      </c>
      <c r="D368" s="129"/>
      <c r="E368" s="129">
        <v>5000000</v>
      </c>
      <c r="F368" s="130"/>
      <c r="G368" s="131">
        <v>15334099</v>
      </c>
      <c r="H368" s="129"/>
      <c r="I368" s="129">
        <v>5175000</v>
      </c>
      <c r="J368" s="130"/>
      <c r="K368" s="131">
        <v>15870793</v>
      </c>
      <c r="L368" s="129"/>
      <c r="M368" s="129">
        <v>5356125</v>
      </c>
      <c r="N368" s="130"/>
      <c r="O368" s="131">
        <v>16426271</v>
      </c>
      <c r="P368" s="129"/>
      <c r="Q368" s="129">
        <v>5543589</v>
      </c>
      <c r="R368" s="130"/>
      <c r="S368" s="28">
        <f>SUM(C368:R368)</f>
        <v>83521432</v>
      </c>
      <c r="T368" s="263"/>
    </row>
    <row r="369" spans="1:20" ht="15">
      <c r="A369" s="767"/>
      <c r="B369" s="174" t="s">
        <v>360</v>
      </c>
      <c r="C369" s="111"/>
      <c r="D369" s="109"/>
      <c r="E369" s="109">
        <v>7000000</v>
      </c>
      <c r="F369" s="110"/>
      <c r="G369" s="111"/>
      <c r="H369" s="109"/>
      <c r="I369" s="109">
        <v>7245000</v>
      </c>
      <c r="J369" s="110"/>
      <c r="K369" s="111"/>
      <c r="L369" s="109"/>
      <c r="M369" s="109">
        <v>7498575</v>
      </c>
      <c r="N369" s="110"/>
      <c r="O369" s="111"/>
      <c r="P369" s="109"/>
      <c r="Q369" s="109">
        <v>7761025</v>
      </c>
      <c r="R369" s="110"/>
      <c r="S369" s="28">
        <f>SUM(C369:R369)</f>
        <v>29504600</v>
      </c>
      <c r="T369" s="263"/>
    </row>
    <row r="370" spans="1:20" ht="15">
      <c r="A370" s="767"/>
      <c r="B370" s="174" t="s">
        <v>362</v>
      </c>
      <c r="C370" s="111"/>
      <c r="D370" s="109"/>
      <c r="E370" s="109">
        <v>6500000</v>
      </c>
      <c r="F370" s="110"/>
      <c r="G370" s="111"/>
      <c r="H370" s="109"/>
      <c r="I370" s="109">
        <v>6727500</v>
      </c>
      <c r="J370" s="110"/>
      <c r="K370" s="111"/>
      <c r="L370" s="109"/>
      <c r="M370" s="109">
        <v>6962963</v>
      </c>
      <c r="N370" s="110"/>
      <c r="O370" s="111"/>
      <c r="P370" s="109"/>
      <c r="Q370" s="109">
        <v>7206666</v>
      </c>
      <c r="R370" s="110"/>
      <c r="S370" s="28">
        <f>SUM(C370:R370)</f>
        <v>27397129</v>
      </c>
      <c r="T370" s="263"/>
    </row>
    <row r="371" spans="1:20" ht="15">
      <c r="A371" s="767"/>
      <c r="B371" s="174" t="s">
        <v>361</v>
      </c>
      <c r="C371" s="111"/>
      <c r="D371" s="109"/>
      <c r="E371" s="109">
        <v>1000000</v>
      </c>
      <c r="F371" s="110"/>
      <c r="G371" s="111"/>
      <c r="H371" s="109"/>
      <c r="I371" s="109">
        <v>1035000</v>
      </c>
      <c r="J371" s="110"/>
      <c r="K371" s="111"/>
      <c r="L371" s="109"/>
      <c r="M371" s="109">
        <v>1071225</v>
      </c>
      <c r="N371" s="110"/>
      <c r="O371" s="111"/>
      <c r="P371" s="109"/>
      <c r="Q371" s="109">
        <v>1108718</v>
      </c>
      <c r="R371" s="110"/>
      <c r="S371" s="28">
        <f>SUM(C371:R371)</f>
        <v>4214943</v>
      </c>
      <c r="T371" s="263"/>
    </row>
    <row r="372" spans="1:20" ht="15.75" thickBot="1">
      <c r="A372" s="767"/>
      <c r="B372" s="176" t="s">
        <v>348</v>
      </c>
      <c r="C372" s="131">
        <v>7407778</v>
      </c>
      <c r="D372" s="129"/>
      <c r="E372" s="129"/>
      <c r="F372" s="130"/>
      <c r="G372" s="131">
        <v>7667050</v>
      </c>
      <c r="H372" s="129"/>
      <c r="I372" s="129"/>
      <c r="J372" s="130"/>
      <c r="K372" s="131">
        <v>7935397</v>
      </c>
      <c r="L372" s="129"/>
      <c r="M372" s="129"/>
      <c r="N372" s="130"/>
      <c r="O372" s="131">
        <v>8213136</v>
      </c>
      <c r="P372" s="129"/>
      <c r="Q372" s="129"/>
      <c r="R372" s="130"/>
      <c r="S372" s="28">
        <f>SUM(C372:R372)</f>
        <v>31223361</v>
      </c>
      <c r="T372" s="263"/>
    </row>
    <row r="373" spans="1:20" ht="16.5" thickBot="1">
      <c r="A373" s="585" t="s">
        <v>280</v>
      </c>
      <c r="B373" s="718"/>
      <c r="C373" s="226">
        <f>+C349+C350+C351+C352+C353+C355+C356+C357+C358+C362+C363+C365+C366+C368+C369+C370+C371+C372+C359+C360</f>
        <v>496223333</v>
      </c>
      <c r="D373" s="227">
        <f aca="true" t="shared" si="28" ref="D373:R373">+D349+D350+D351+D352+D353+D355+D356+D357+D358+D362+D363+D365+D366+D368+D369+D370+D371+D372+D359+D360</f>
        <v>0</v>
      </c>
      <c r="E373" s="227">
        <f t="shared" si="28"/>
        <v>19500000</v>
      </c>
      <c r="F373" s="228">
        <f t="shared" si="28"/>
        <v>50000000</v>
      </c>
      <c r="G373" s="226">
        <f t="shared" si="28"/>
        <v>427771149</v>
      </c>
      <c r="H373" s="227">
        <f t="shared" si="28"/>
        <v>0</v>
      </c>
      <c r="I373" s="227">
        <f t="shared" si="28"/>
        <v>20182500</v>
      </c>
      <c r="J373" s="228">
        <f t="shared" si="28"/>
        <v>0</v>
      </c>
      <c r="K373" s="226">
        <f t="shared" si="28"/>
        <v>307493140</v>
      </c>
      <c r="L373" s="227">
        <f t="shared" si="28"/>
        <v>0</v>
      </c>
      <c r="M373" s="227">
        <f t="shared" si="28"/>
        <v>20888888</v>
      </c>
      <c r="N373" s="228">
        <f t="shared" si="28"/>
        <v>0</v>
      </c>
      <c r="O373" s="226">
        <f t="shared" si="28"/>
        <v>441253747</v>
      </c>
      <c r="P373" s="227">
        <f t="shared" si="28"/>
        <v>0</v>
      </c>
      <c r="Q373" s="227">
        <f t="shared" si="28"/>
        <v>21619998</v>
      </c>
      <c r="R373" s="228">
        <f t="shared" si="28"/>
        <v>0</v>
      </c>
      <c r="S373" s="841">
        <f>+S348+S354+S361+S364+S367</f>
        <v>1804932755</v>
      </c>
      <c r="T373" s="842"/>
    </row>
    <row r="374" spans="1:20" ht="18" customHeight="1">
      <c r="A374" s="761" t="s">
        <v>329</v>
      </c>
      <c r="B374" s="762"/>
      <c r="C374" s="765" t="s">
        <v>5</v>
      </c>
      <c r="D374" s="766"/>
      <c r="E374" s="766"/>
      <c r="F374" s="766"/>
      <c r="G374" s="766"/>
      <c r="H374" s="766"/>
      <c r="I374" s="766"/>
      <c r="J374" s="766"/>
      <c r="K374" s="766"/>
      <c r="L374" s="766"/>
      <c r="M374" s="766"/>
      <c r="N374" s="766"/>
      <c r="O374" s="766"/>
      <c r="P374" s="766"/>
      <c r="Q374" s="766"/>
      <c r="R374" s="766"/>
      <c r="S374" s="299"/>
      <c r="T374" s="300"/>
    </row>
    <row r="375" spans="1:20" ht="18" customHeight="1" thickBot="1">
      <c r="A375" s="763"/>
      <c r="B375" s="764"/>
      <c r="C375" s="545" t="s">
        <v>195</v>
      </c>
      <c r="D375" s="546"/>
      <c r="E375" s="546"/>
      <c r="F375" s="546"/>
      <c r="G375" s="546"/>
      <c r="H375" s="546"/>
      <c r="I375" s="546"/>
      <c r="J375" s="546"/>
      <c r="K375" s="546"/>
      <c r="L375" s="546"/>
      <c r="M375" s="546"/>
      <c r="N375" s="546"/>
      <c r="O375" s="546"/>
      <c r="P375" s="546"/>
      <c r="Q375" s="546"/>
      <c r="R375" s="546"/>
      <c r="S375" s="303"/>
      <c r="T375" s="304"/>
    </row>
    <row r="376" spans="1:20" ht="16.5" thickBot="1">
      <c r="A376" s="745" t="s">
        <v>328</v>
      </c>
      <c r="B376" s="746"/>
      <c r="C376" s="747">
        <f>+C377+C383</f>
        <v>49000000</v>
      </c>
      <c r="D376" s="748"/>
      <c r="E376" s="748"/>
      <c r="F376" s="748"/>
      <c r="G376" s="747">
        <f>+G377+G383</f>
        <v>44505000</v>
      </c>
      <c r="H376" s="748"/>
      <c r="I376" s="748"/>
      <c r="J376" s="748"/>
      <c r="K376" s="747">
        <f>+K377+K383</f>
        <v>46062675</v>
      </c>
      <c r="L376" s="748"/>
      <c r="M376" s="748"/>
      <c r="N376" s="748"/>
      <c r="O376" s="747">
        <f>+O377+O383</f>
        <v>47674869</v>
      </c>
      <c r="P376" s="748"/>
      <c r="Q376" s="748"/>
      <c r="R376" s="748"/>
      <c r="S376" s="757">
        <f>SUM(C376:R376)</f>
        <v>187242544</v>
      </c>
      <c r="T376" s="758"/>
    </row>
    <row r="377" spans="1:20" ht="27" customHeight="1" thickBot="1">
      <c r="A377" s="769" t="s">
        <v>423</v>
      </c>
      <c r="B377" s="770"/>
      <c r="C377" s="733">
        <f>SUM(C378:F382)</f>
        <v>19000000</v>
      </c>
      <c r="D377" s="734"/>
      <c r="E377" s="734"/>
      <c r="F377" s="735"/>
      <c r="G377" s="733">
        <f>SUM(G378:J382)</f>
        <v>13455000</v>
      </c>
      <c r="H377" s="734"/>
      <c r="I377" s="734"/>
      <c r="J377" s="735"/>
      <c r="K377" s="733">
        <f>SUM(K378:N382)</f>
        <v>13925925</v>
      </c>
      <c r="L377" s="734"/>
      <c r="M377" s="734"/>
      <c r="N377" s="735"/>
      <c r="O377" s="733">
        <f>SUM(O378:R382)</f>
        <v>14413332</v>
      </c>
      <c r="P377" s="734"/>
      <c r="Q377" s="734"/>
      <c r="R377" s="734"/>
      <c r="S377" s="759">
        <f>SUM(S378:S382)</f>
        <v>60794257</v>
      </c>
      <c r="T377" s="760"/>
    </row>
    <row r="378" spans="1:20" ht="25.5">
      <c r="A378" s="771" t="s">
        <v>377</v>
      </c>
      <c r="B378" s="117" t="s">
        <v>196</v>
      </c>
      <c r="C378" s="103">
        <v>2000000</v>
      </c>
      <c r="D378" s="104"/>
      <c r="E378" s="104"/>
      <c r="F378" s="105"/>
      <c r="G378" s="106">
        <v>2070000</v>
      </c>
      <c r="H378" s="104"/>
      <c r="I378" s="104"/>
      <c r="J378" s="105"/>
      <c r="K378" s="106">
        <v>2142450</v>
      </c>
      <c r="L378" s="104"/>
      <c r="M378" s="104"/>
      <c r="N378" s="105"/>
      <c r="O378" s="106">
        <v>2217436</v>
      </c>
      <c r="P378" s="104"/>
      <c r="Q378" s="104"/>
      <c r="R378" s="289"/>
      <c r="S378" s="294">
        <f>SUM(C378:R378)</f>
        <v>8429886</v>
      </c>
      <c r="T378" s="436" t="s">
        <v>402</v>
      </c>
    </row>
    <row r="379" spans="1:20" ht="25.5">
      <c r="A379" s="772"/>
      <c r="B379" s="118" t="s">
        <v>197</v>
      </c>
      <c r="C379" s="108">
        <v>1000000</v>
      </c>
      <c r="D379" s="109"/>
      <c r="E379" s="109"/>
      <c r="F379" s="110"/>
      <c r="G379" s="111">
        <v>1035000</v>
      </c>
      <c r="H379" s="109"/>
      <c r="I379" s="109"/>
      <c r="J379" s="110"/>
      <c r="K379" s="111">
        <v>1071225</v>
      </c>
      <c r="L379" s="109"/>
      <c r="M379" s="109"/>
      <c r="N379" s="110"/>
      <c r="O379" s="111">
        <v>1108718</v>
      </c>
      <c r="P379" s="109"/>
      <c r="Q379" s="109"/>
      <c r="R379" s="290"/>
      <c r="S379" s="294">
        <f>SUM(C379:R379)</f>
        <v>4214943</v>
      </c>
      <c r="T379" s="436"/>
    </row>
    <row r="380" spans="1:20" ht="15">
      <c r="A380" s="772"/>
      <c r="B380" s="118" t="s">
        <v>198</v>
      </c>
      <c r="C380" s="108">
        <v>10000000</v>
      </c>
      <c r="D380" s="109"/>
      <c r="E380" s="109"/>
      <c r="F380" s="110"/>
      <c r="G380" s="111">
        <v>5175000</v>
      </c>
      <c r="H380" s="109"/>
      <c r="I380" s="109"/>
      <c r="J380" s="110"/>
      <c r="K380" s="111">
        <v>5356125</v>
      </c>
      <c r="L380" s="109"/>
      <c r="M380" s="109"/>
      <c r="N380" s="110"/>
      <c r="O380" s="111">
        <v>5543589</v>
      </c>
      <c r="P380" s="109"/>
      <c r="Q380" s="109"/>
      <c r="R380" s="290"/>
      <c r="S380" s="294">
        <f>SUM(C380:R380)</f>
        <v>26074714</v>
      </c>
      <c r="T380" s="436"/>
    </row>
    <row r="381" spans="1:20" ht="17.25" customHeight="1">
      <c r="A381" s="772"/>
      <c r="B381" s="118" t="s">
        <v>199</v>
      </c>
      <c r="C381" s="108"/>
      <c r="D381" s="109">
        <v>5000000</v>
      </c>
      <c r="E381" s="109"/>
      <c r="F381" s="110"/>
      <c r="G381" s="111"/>
      <c r="H381" s="109">
        <v>5175000</v>
      </c>
      <c r="I381" s="109"/>
      <c r="J381" s="110"/>
      <c r="K381" s="111"/>
      <c r="L381" s="109">
        <v>5356125</v>
      </c>
      <c r="M381" s="109"/>
      <c r="N381" s="110"/>
      <c r="O381" s="111"/>
      <c r="P381" s="109">
        <v>5543589</v>
      </c>
      <c r="Q381" s="109"/>
      <c r="R381" s="290"/>
      <c r="S381" s="294">
        <f>SUM(C381:R381)</f>
        <v>21074714</v>
      </c>
      <c r="T381" s="436" t="s">
        <v>399</v>
      </c>
    </row>
    <row r="382" spans="1:20" ht="39" thickBot="1">
      <c r="A382" s="773"/>
      <c r="B382" s="119" t="s">
        <v>200</v>
      </c>
      <c r="C382" s="113">
        <v>1000000</v>
      </c>
      <c r="D382" s="114"/>
      <c r="E382" s="114"/>
      <c r="F382" s="115"/>
      <c r="G382" s="116"/>
      <c r="H382" s="114"/>
      <c r="I382" s="114"/>
      <c r="J382" s="115"/>
      <c r="K382" s="116"/>
      <c r="L382" s="114"/>
      <c r="M382" s="114"/>
      <c r="N382" s="115"/>
      <c r="O382" s="116"/>
      <c r="P382" s="114"/>
      <c r="Q382" s="114"/>
      <c r="R382" s="140"/>
      <c r="S382" s="294">
        <f>SUM(C382:R382)</f>
        <v>1000000</v>
      </c>
      <c r="T382" s="436"/>
    </row>
    <row r="383" spans="1:20" ht="27" customHeight="1" thickBot="1">
      <c r="A383" s="749" t="s">
        <v>424</v>
      </c>
      <c r="B383" s="768"/>
      <c r="C383" s="751">
        <f>SUM(C384:F386)</f>
        <v>30000000</v>
      </c>
      <c r="D383" s="752"/>
      <c r="E383" s="752"/>
      <c r="F383" s="753"/>
      <c r="G383" s="751">
        <f>SUM(G384:J386)</f>
        <v>31050000</v>
      </c>
      <c r="H383" s="752"/>
      <c r="I383" s="752"/>
      <c r="J383" s="753"/>
      <c r="K383" s="751">
        <f>SUM(K384:N386)</f>
        <v>32136750</v>
      </c>
      <c r="L383" s="752"/>
      <c r="M383" s="752"/>
      <c r="N383" s="753"/>
      <c r="O383" s="751">
        <f>SUM(O384:R386)</f>
        <v>33261537</v>
      </c>
      <c r="P383" s="752"/>
      <c r="Q383" s="752"/>
      <c r="R383" s="752"/>
      <c r="S383" s="759">
        <f>SUM(S384:S386)</f>
        <v>126448287</v>
      </c>
      <c r="T383" s="760"/>
    </row>
    <row r="384" spans="1:20" ht="25.5">
      <c r="A384" s="774" t="s">
        <v>377</v>
      </c>
      <c r="B384" s="53" t="s">
        <v>482</v>
      </c>
      <c r="C384" s="103">
        <v>10000000</v>
      </c>
      <c r="D384" s="104"/>
      <c r="E384" s="104"/>
      <c r="F384" s="105"/>
      <c r="G384" s="106">
        <v>10350000</v>
      </c>
      <c r="H384" s="104"/>
      <c r="I384" s="104"/>
      <c r="J384" s="105"/>
      <c r="K384" s="106">
        <v>10712250</v>
      </c>
      <c r="L384" s="104"/>
      <c r="M384" s="104"/>
      <c r="N384" s="105"/>
      <c r="O384" s="106">
        <v>11087179</v>
      </c>
      <c r="P384" s="104"/>
      <c r="Q384" s="104"/>
      <c r="R384" s="289"/>
      <c r="S384" s="294">
        <f>SUM(C384:R384)</f>
        <v>42149429</v>
      </c>
      <c r="T384" s="781" t="s">
        <v>402</v>
      </c>
    </row>
    <row r="385" spans="1:20" ht="25.5">
      <c r="A385" s="775"/>
      <c r="B385" s="434" t="s">
        <v>501</v>
      </c>
      <c r="C385" s="128">
        <v>1000000</v>
      </c>
      <c r="D385" s="129"/>
      <c r="E385" s="129"/>
      <c r="F385" s="130"/>
      <c r="G385" s="131">
        <v>1035000</v>
      </c>
      <c r="H385" s="129"/>
      <c r="I385" s="129"/>
      <c r="J385" s="130"/>
      <c r="K385" s="131">
        <v>1071225</v>
      </c>
      <c r="L385" s="129"/>
      <c r="M385" s="129"/>
      <c r="N385" s="130"/>
      <c r="O385" s="131">
        <v>1108718</v>
      </c>
      <c r="P385" s="129"/>
      <c r="Q385" s="129"/>
      <c r="R385" s="292"/>
      <c r="S385" s="294">
        <f>SUM(C385:R385)</f>
        <v>4214943</v>
      </c>
      <c r="T385" s="781"/>
    </row>
    <row r="386" spans="1:20" ht="39" thickBot="1">
      <c r="A386" s="776"/>
      <c r="B386" s="138" t="s">
        <v>201</v>
      </c>
      <c r="C386" s="113">
        <v>19000000</v>
      </c>
      <c r="D386" s="114"/>
      <c r="E386" s="114"/>
      <c r="F386" s="115"/>
      <c r="G386" s="116">
        <v>19665000</v>
      </c>
      <c r="H386" s="114"/>
      <c r="I386" s="114"/>
      <c r="J386" s="115"/>
      <c r="K386" s="116">
        <v>20353275</v>
      </c>
      <c r="L386" s="114"/>
      <c r="M386" s="114"/>
      <c r="N386" s="115"/>
      <c r="O386" s="116">
        <v>21065640</v>
      </c>
      <c r="P386" s="114"/>
      <c r="Q386" s="114"/>
      <c r="R386" s="140"/>
      <c r="S386" s="294">
        <f>SUM(C386:R386)</f>
        <v>80083915</v>
      </c>
      <c r="T386" s="781"/>
    </row>
    <row r="387" spans="1:20" ht="16.5" thickBot="1">
      <c r="A387" s="564" t="s">
        <v>280</v>
      </c>
      <c r="B387" s="718"/>
      <c r="C387" s="226">
        <f>+C378+C379+C380+C381+C382+C384+C385+C386</f>
        <v>44000000</v>
      </c>
      <c r="D387" s="227">
        <f aca="true" t="shared" si="29" ref="D387:R387">+D378+D379+D380+D381+D382+D384+D385+D386</f>
        <v>5000000</v>
      </c>
      <c r="E387" s="227">
        <f t="shared" si="29"/>
        <v>0</v>
      </c>
      <c r="F387" s="228">
        <f t="shared" si="29"/>
        <v>0</v>
      </c>
      <c r="G387" s="226">
        <f t="shared" si="29"/>
        <v>39330000</v>
      </c>
      <c r="H387" s="227">
        <f t="shared" si="29"/>
        <v>5175000</v>
      </c>
      <c r="I387" s="227">
        <f t="shared" si="29"/>
        <v>0</v>
      </c>
      <c r="J387" s="228">
        <f t="shared" si="29"/>
        <v>0</v>
      </c>
      <c r="K387" s="226">
        <f t="shared" si="29"/>
        <v>40706550</v>
      </c>
      <c r="L387" s="227">
        <f t="shared" si="29"/>
        <v>5356125</v>
      </c>
      <c r="M387" s="227">
        <f t="shared" si="29"/>
        <v>0</v>
      </c>
      <c r="N387" s="228">
        <f t="shared" si="29"/>
        <v>0</v>
      </c>
      <c r="O387" s="226">
        <f t="shared" si="29"/>
        <v>42131280</v>
      </c>
      <c r="P387" s="227">
        <f t="shared" si="29"/>
        <v>5543589</v>
      </c>
      <c r="Q387" s="227">
        <f t="shared" si="29"/>
        <v>0</v>
      </c>
      <c r="R387" s="228">
        <f t="shared" si="29"/>
        <v>0</v>
      </c>
      <c r="S387" s="662">
        <f>+S377+S383</f>
        <v>187242544</v>
      </c>
      <c r="T387" s="540"/>
    </row>
    <row r="388" spans="1:20" ht="21" customHeight="1">
      <c r="A388" s="568"/>
      <c r="B388" s="569"/>
      <c r="C388" s="723">
        <v>2012</v>
      </c>
      <c r="D388" s="724"/>
      <c r="E388" s="724"/>
      <c r="F388" s="725"/>
      <c r="G388" s="723">
        <v>2013</v>
      </c>
      <c r="H388" s="724"/>
      <c r="I388" s="724"/>
      <c r="J388" s="725"/>
      <c r="K388" s="723">
        <v>2014</v>
      </c>
      <c r="L388" s="724"/>
      <c r="M388" s="724"/>
      <c r="N388" s="725"/>
      <c r="O388" s="723">
        <v>2015</v>
      </c>
      <c r="P388" s="724"/>
      <c r="Q388" s="724"/>
      <c r="R388" s="725"/>
      <c r="S388" s="691" t="s">
        <v>386</v>
      </c>
      <c r="T388" s="693" t="s">
        <v>403</v>
      </c>
    </row>
    <row r="389" spans="1:20" ht="27" customHeight="1" thickBot="1">
      <c r="A389" s="247" t="s">
        <v>0</v>
      </c>
      <c r="B389" s="248" t="s">
        <v>284</v>
      </c>
      <c r="C389" s="249" t="s">
        <v>1</v>
      </c>
      <c r="D389" s="250" t="s">
        <v>2</v>
      </c>
      <c r="E389" s="250" t="s">
        <v>3</v>
      </c>
      <c r="F389" s="251" t="s">
        <v>4</v>
      </c>
      <c r="G389" s="249" t="s">
        <v>1</v>
      </c>
      <c r="H389" s="250" t="s">
        <v>2</v>
      </c>
      <c r="I389" s="250" t="s">
        <v>3</v>
      </c>
      <c r="J389" s="251" t="s">
        <v>4</v>
      </c>
      <c r="K389" s="249" t="s">
        <v>1</v>
      </c>
      <c r="L389" s="250" t="s">
        <v>2</v>
      </c>
      <c r="M389" s="250" t="s">
        <v>3</v>
      </c>
      <c r="N389" s="251" t="s">
        <v>4</v>
      </c>
      <c r="O389" s="249" t="s">
        <v>1</v>
      </c>
      <c r="P389" s="250" t="s">
        <v>2</v>
      </c>
      <c r="Q389" s="250" t="s">
        <v>3</v>
      </c>
      <c r="R389" s="251" t="s">
        <v>4</v>
      </c>
      <c r="S389" s="692"/>
      <c r="T389" s="694"/>
    </row>
    <row r="390" spans="1:20" ht="12.75" customHeight="1">
      <c r="A390" s="761" t="s">
        <v>350</v>
      </c>
      <c r="B390" s="762"/>
      <c r="C390" s="765" t="s">
        <v>5</v>
      </c>
      <c r="D390" s="766"/>
      <c r="E390" s="766"/>
      <c r="F390" s="766"/>
      <c r="G390" s="766"/>
      <c r="H390" s="766"/>
      <c r="I390" s="766"/>
      <c r="J390" s="766"/>
      <c r="K390" s="766"/>
      <c r="L390" s="766"/>
      <c r="M390" s="766"/>
      <c r="N390" s="766"/>
      <c r="O390" s="766"/>
      <c r="P390" s="766"/>
      <c r="Q390" s="766"/>
      <c r="R390" s="766"/>
      <c r="T390" s="302"/>
    </row>
    <row r="391" spans="1:20" ht="12.75" customHeight="1">
      <c r="A391" s="777"/>
      <c r="B391" s="778"/>
      <c r="C391" s="779" t="s">
        <v>202</v>
      </c>
      <c r="D391" s="780"/>
      <c r="E391" s="780"/>
      <c r="F391" s="780"/>
      <c r="G391" s="780"/>
      <c r="H391" s="780"/>
      <c r="I391" s="780"/>
      <c r="J391" s="780"/>
      <c r="K391" s="780"/>
      <c r="L391" s="780"/>
      <c r="M391" s="780"/>
      <c r="N391" s="780"/>
      <c r="O391" s="780"/>
      <c r="P391" s="780"/>
      <c r="Q391" s="780"/>
      <c r="R391" s="780"/>
      <c r="T391" s="302"/>
    </row>
    <row r="392" spans="1:20" ht="12.75" customHeight="1" thickBot="1">
      <c r="A392" s="777"/>
      <c r="B392" s="778"/>
      <c r="C392" s="779" t="s">
        <v>205</v>
      </c>
      <c r="D392" s="780"/>
      <c r="E392" s="780"/>
      <c r="F392" s="780"/>
      <c r="G392" s="780"/>
      <c r="H392" s="780"/>
      <c r="I392" s="780"/>
      <c r="J392" s="780"/>
      <c r="K392" s="780"/>
      <c r="L392" s="780"/>
      <c r="M392" s="780"/>
      <c r="N392" s="780"/>
      <c r="O392" s="780"/>
      <c r="P392" s="780"/>
      <c r="Q392" s="780"/>
      <c r="R392" s="780"/>
      <c r="T392" s="304"/>
    </row>
    <row r="393" spans="1:20" ht="16.5" thickBot="1">
      <c r="A393" s="745" t="s">
        <v>330</v>
      </c>
      <c r="B393" s="746"/>
      <c r="C393" s="747">
        <f>+C394+C402+C397</f>
        <v>288818349</v>
      </c>
      <c r="D393" s="748"/>
      <c r="E393" s="748"/>
      <c r="F393" s="748"/>
      <c r="G393" s="747">
        <f>+G394+G402+G397</f>
        <v>298926991</v>
      </c>
      <c r="H393" s="748"/>
      <c r="I393" s="748"/>
      <c r="J393" s="748"/>
      <c r="K393" s="747">
        <f>+K394+K402+K397</f>
        <v>429389437</v>
      </c>
      <c r="L393" s="748"/>
      <c r="M393" s="748"/>
      <c r="N393" s="748"/>
      <c r="O393" s="747">
        <f>+O394+O402+O397</f>
        <v>400218065</v>
      </c>
      <c r="P393" s="748"/>
      <c r="Q393" s="748"/>
      <c r="R393" s="748"/>
      <c r="S393" s="757">
        <f>SUM(C393:R393)</f>
        <v>1417352842</v>
      </c>
      <c r="T393" s="758"/>
    </row>
    <row r="394" spans="1:20" ht="27" customHeight="1" thickBot="1">
      <c r="A394" s="769" t="s">
        <v>425</v>
      </c>
      <c r="B394" s="770"/>
      <c r="C394" s="733">
        <f>SUM(C395:F396)</f>
        <v>0</v>
      </c>
      <c r="D394" s="734"/>
      <c r="E394" s="734"/>
      <c r="F394" s="735"/>
      <c r="G394" s="733">
        <f>SUM(G395:J396)</f>
        <v>0</v>
      </c>
      <c r="H394" s="734"/>
      <c r="I394" s="734"/>
      <c r="J394" s="735"/>
      <c r="K394" s="733">
        <f>SUM(K395:N396)</f>
        <v>120000000</v>
      </c>
      <c r="L394" s="734"/>
      <c r="M394" s="734"/>
      <c r="N394" s="735"/>
      <c r="O394" s="733">
        <f>SUM(O395:R396)</f>
        <v>80000000</v>
      </c>
      <c r="P394" s="734"/>
      <c r="Q394" s="734"/>
      <c r="R394" s="734"/>
      <c r="S394" s="759">
        <f>SUM(S395:S396)</f>
        <v>200000000</v>
      </c>
      <c r="T394" s="760"/>
    </row>
    <row r="395" spans="1:20" ht="27" customHeight="1">
      <c r="A395" s="736" t="s">
        <v>384</v>
      </c>
      <c r="B395" s="117" t="s">
        <v>502</v>
      </c>
      <c r="C395" s="103"/>
      <c r="D395" s="104"/>
      <c r="E395" s="104"/>
      <c r="F395" s="105"/>
      <c r="G395" s="106"/>
      <c r="H395" s="104"/>
      <c r="I395" s="104"/>
      <c r="J395" s="105"/>
      <c r="K395" s="106">
        <v>120000000</v>
      </c>
      <c r="L395" s="104"/>
      <c r="M395" s="104"/>
      <c r="N395" s="105"/>
      <c r="O395" s="106"/>
      <c r="P395" s="104"/>
      <c r="Q395" s="104"/>
      <c r="R395" s="289"/>
      <c r="S395" s="294">
        <f>SUM(C395:R395)</f>
        <v>120000000</v>
      </c>
      <c r="T395" s="436" t="s">
        <v>402</v>
      </c>
    </row>
    <row r="396" spans="1:20" ht="26.25" thickBot="1">
      <c r="A396" s="737"/>
      <c r="B396" s="118" t="s">
        <v>203</v>
      </c>
      <c r="C396" s="108"/>
      <c r="D396" s="109"/>
      <c r="E396" s="109"/>
      <c r="F396" s="110"/>
      <c r="G396" s="111"/>
      <c r="H396" s="109"/>
      <c r="I396" s="109"/>
      <c r="J396" s="110"/>
      <c r="K396" s="111"/>
      <c r="L396" s="109"/>
      <c r="M396" s="109"/>
      <c r="N396" s="110"/>
      <c r="O396" s="111">
        <v>80000000</v>
      </c>
      <c r="P396" s="109"/>
      <c r="Q396" s="109"/>
      <c r="R396" s="290"/>
      <c r="S396" s="294">
        <f>SUM(C396:R396)</f>
        <v>80000000</v>
      </c>
      <c r="T396" s="436"/>
    </row>
    <row r="397" spans="1:20" ht="27" customHeight="1" thickBot="1">
      <c r="A397" s="749" t="s">
        <v>426</v>
      </c>
      <c r="B397" s="750"/>
      <c r="C397" s="751">
        <f>SUM(C398:F401)</f>
        <v>33200000</v>
      </c>
      <c r="D397" s="752"/>
      <c r="E397" s="752"/>
      <c r="F397" s="753"/>
      <c r="G397" s="751">
        <f>SUM(G398:J401)</f>
        <v>34362000</v>
      </c>
      <c r="H397" s="752"/>
      <c r="I397" s="752"/>
      <c r="J397" s="753"/>
      <c r="K397" s="751">
        <f>SUM(K398:N401)</f>
        <v>35564671</v>
      </c>
      <c r="L397" s="752"/>
      <c r="M397" s="752"/>
      <c r="N397" s="753"/>
      <c r="O397" s="751">
        <f>SUM(O398:R401)</f>
        <v>36809434</v>
      </c>
      <c r="P397" s="752"/>
      <c r="Q397" s="752"/>
      <c r="R397" s="752"/>
      <c r="S397" s="759">
        <f>SUM(S398:S401)</f>
        <v>139936105</v>
      </c>
      <c r="T397" s="760"/>
    </row>
    <row r="398" spans="1:20" ht="15">
      <c r="A398" s="771" t="s">
        <v>300</v>
      </c>
      <c r="B398" s="117" t="s">
        <v>147</v>
      </c>
      <c r="C398" s="120"/>
      <c r="D398" s="120">
        <v>4200000</v>
      </c>
      <c r="E398" s="121"/>
      <c r="F398" s="122"/>
      <c r="G398" s="123"/>
      <c r="H398" s="121">
        <v>4347000</v>
      </c>
      <c r="I398" s="121"/>
      <c r="J398" s="122"/>
      <c r="K398" s="123"/>
      <c r="L398" s="121">
        <v>4499145</v>
      </c>
      <c r="M398" s="121"/>
      <c r="N398" s="132"/>
      <c r="O398" s="123"/>
      <c r="P398" s="121">
        <v>4656615</v>
      </c>
      <c r="Q398" s="121"/>
      <c r="R398" s="132"/>
      <c r="S398" s="294">
        <f>SUM(C398:R398)</f>
        <v>17702760</v>
      </c>
      <c r="T398" s="781" t="s">
        <v>402</v>
      </c>
    </row>
    <row r="399" spans="1:20" ht="15">
      <c r="A399" s="772"/>
      <c r="B399" s="118" t="s">
        <v>148</v>
      </c>
      <c r="C399" s="133"/>
      <c r="D399" s="133">
        <v>3500000</v>
      </c>
      <c r="E399" s="134"/>
      <c r="F399" s="135"/>
      <c r="G399" s="136"/>
      <c r="H399" s="121">
        <v>3622500</v>
      </c>
      <c r="I399" s="134"/>
      <c r="J399" s="135"/>
      <c r="K399" s="136"/>
      <c r="L399" s="121">
        <v>3749288</v>
      </c>
      <c r="M399" s="134"/>
      <c r="N399" s="137"/>
      <c r="O399" s="136"/>
      <c r="P399" s="121">
        <v>3880513</v>
      </c>
      <c r="Q399" s="134"/>
      <c r="R399" s="137"/>
      <c r="S399" s="294">
        <f>SUM(C399:R399)</f>
        <v>14752301</v>
      </c>
      <c r="T399" s="781"/>
    </row>
    <row r="400" spans="1:20" ht="17.25" customHeight="1">
      <c r="A400" s="772"/>
      <c r="B400" s="118" t="s">
        <v>204</v>
      </c>
      <c r="C400" s="133"/>
      <c r="D400" s="133">
        <v>7500000</v>
      </c>
      <c r="E400" s="134"/>
      <c r="F400" s="135"/>
      <c r="G400" s="136"/>
      <c r="H400" s="121">
        <v>7762500</v>
      </c>
      <c r="I400" s="134"/>
      <c r="J400" s="135"/>
      <c r="K400" s="136"/>
      <c r="L400" s="121">
        <v>8034188</v>
      </c>
      <c r="M400" s="134"/>
      <c r="N400" s="137"/>
      <c r="O400" s="136"/>
      <c r="P400" s="121">
        <v>8315384</v>
      </c>
      <c r="Q400" s="134"/>
      <c r="R400" s="137"/>
      <c r="S400" s="294">
        <f>SUM(C400:R400)</f>
        <v>31612072</v>
      </c>
      <c r="T400" s="781"/>
    </row>
    <row r="401" spans="1:20" ht="26.25" thickBot="1">
      <c r="A401" s="782"/>
      <c r="B401" s="138" t="s">
        <v>149</v>
      </c>
      <c r="C401" s="113"/>
      <c r="D401" s="113">
        <v>18000000</v>
      </c>
      <c r="E401" s="114"/>
      <c r="F401" s="115"/>
      <c r="G401" s="116"/>
      <c r="H401" s="180">
        <v>18630000</v>
      </c>
      <c r="I401" s="114"/>
      <c r="J401" s="115"/>
      <c r="K401" s="116"/>
      <c r="L401" s="180">
        <v>19282050</v>
      </c>
      <c r="M401" s="114"/>
      <c r="N401" s="140"/>
      <c r="O401" s="116"/>
      <c r="P401" s="180">
        <v>19956922</v>
      </c>
      <c r="Q401" s="114"/>
      <c r="R401" s="140"/>
      <c r="S401" s="294">
        <f>SUM(C401:R401)</f>
        <v>75868972</v>
      </c>
      <c r="T401" s="781"/>
    </row>
    <row r="402" spans="1:20" ht="27" customHeight="1" thickBot="1">
      <c r="A402" s="749" t="s">
        <v>427</v>
      </c>
      <c r="B402" s="750"/>
      <c r="C402" s="751">
        <f>SUM(C403:F404)</f>
        <v>255618349</v>
      </c>
      <c r="D402" s="752"/>
      <c r="E402" s="752"/>
      <c r="F402" s="753"/>
      <c r="G402" s="751">
        <f>SUM(G403:J404)</f>
        <v>264564991</v>
      </c>
      <c r="H402" s="752"/>
      <c r="I402" s="752"/>
      <c r="J402" s="753"/>
      <c r="K402" s="751">
        <f>SUM(K403:N404)</f>
        <v>273824766</v>
      </c>
      <c r="L402" s="752"/>
      <c r="M402" s="752"/>
      <c r="N402" s="752"/>
      <c r="O402" s="754">
        <f>SUM(O403:R404)</f>
        <v>283408631</v>
      </c>
      <c r="P402" s="752"/>
      <c r="Q402" s="752"/>
      <c r="R402" s="752"/>
      <c r="S402" s="759">
        <f>SUM(S403:S404)</f>
        <v>1077416737</v>
      </c>
      <c r="T402" s="760"/>
    </row>
    <row r="403" spans="1:20" ht="33" customHeight="1">
      <c r="A403" s="774" t="s">
        <v>490</v>
      </c>
      <c r="B403" s="181" t="s">
        <v>351</v>
      </c>
      <c r="C403" s="133">
        <v>185618349</v>
      </c>
      <c r="D403" s="134"/>
      <c r="E403" s="134"/>
      <c r="F403" s="135"/>
      <c r="G403" s="136">
        <v>192114991</v>
      </c>
      <c r="H403" s="134"/>
      <c r="I403" s="134"/>
      <c r="J403" s="135"/>
      <c r="K403" s="136">
        <v>198839016</v>
      </c>
      <c r="L403" s="134"/>
      <c r="M403" s="134"/>
      <c r="N403" s="137"/>
      <c r="O403" s="136">
        <v>205798380</v>
      </c>
      <c r="P403" s="134"/>
      <c r="Q403" s="134"/>
      <c r="R403" s="137"/>
      <c r="S403" s="294">
        <f>SUM(C403:R403)</f>
        <v>782370736</v>
      </c>
      <c r="T403" s="436" t="s">
        <v>402</v>
      </c>
    </row>
    <row r="404" spans="1:20" ht="20.25" customHeight="1" thickBot="1">
      <c r="A404" s="776"/>
      <c r="B404" s="182" t="s">
        <v>349</v>
      </c>
      <c r="C404" s="172">
        <v>70000000</v>
      </c>
      <c r="D404" s="139"/>
      <c r="E404" s="172"/>
      <c r="F404" s="173"/>
      <c r="G404" s="172">
        <v>72450000</v>
      </c>
      <c r="H404" s="139"/>
      <c r="I404" s="139"/>
      <c r="J404" s="178"/>
      <c r="K404" s="172">
        <v>74985750</v>
      </c>
      <c r="L404" s="139"/>
      <c r="M404" s="139"/>
      <c r="N404" s="177"/>
      <c r="O404" s="179">
        <v>77610251</v>
      </c>
      <c r="P404" s="139"/>
      <c r="Q404" s="139"/>
      <c r="R404" s="177"/>
      <c r="S404" s="294">
        <f>SUM(C404:R404)</f>
        <v>295046001</v>
      </c>
      <c r="T404" s="436"/>
    </row>
    <row r="405" spans="1:20" ht="16.5" thickBot="1">
      <c r="A405" s="564" t="s">
        <v>280</v>
      </c>
      <c r="B405" s="718"/>
      <c r="C405" s="226">
        <f>+C395+C396+C398+C399+C400+C401+C403+C404</f>
        <v>255618349</v>
      </c>
      <c r="D405" s="227">
        <f aca="true" t="shared" si="30" ref="D405:R405">+D395+D396+D403+D398+D399+D400+D401+D404</f>
        <v>33200000</v>
      </c>
      <c r="E405" s="227">
        <f t="shared" si="30"/>
        <v>0</v>
      </c>
      <c r="F405" s="228">
        <f t="shared" si="30"/>
        <v>0</v>
      </c>
      <c r="G405" s="229">
        <f>+G395+G396+G403+G398+G399+G400+G401+G404</f>
        <v>264564991</v>
      </c>
      <c r="H405" s="227">
        <f t="shared" si="30"/>
        <v>34362000</v>
      </c>
      <c r="I405" s="227">
        <f t="shared" si="30"/>
        <v>0</v>
      </c>
      <c r="J405" s="228">
        <f t="shared" si="30"/>
        <v>0</v>
      </c>
      <c r="K405" s="229">
        <f t="shared" si="30"/>
        <v>393824766</v>
      </c>
      <c r="L405" s="227">
        <f t="shared" si="30"/>
        <v>35564671</v>
      </c>
      <c r="M405" s="227">
        <f t="shared" si="30"/>
        <v>0</v>
      </c>
      <c r="N405" s="228">
        <f t="shared" si="30"/>
        <v>0</v>
      </c>
      <c r="O405" s="229">
        <f t="shared" si="30"/>
        <v>363408631</v>
      </c>
      <c r="P405" s="227">
        <f t="shared" si="30"/>
        <v>36809434</v>
      </c>
      <c r="Q405" s="227">
        <f t="shared" si="30"/>
        <v>0</v>
      </c>
      <c r="R405" s="265">
        <f t="shared" si="30"/>
        <v>0</v>
      </c>
      <c r="S405" s="539">
        <f>+S394+S402+S397</f>
        <v>1417352842</v>
      </c>
      <c r="T405" s="540"/>
    </row>
    <row r="406" spans="1:20" ht="18" customHeight="1">
      <c r="A406" s="783" t="s">
        <v>331</v>
      </c>
      <c r="B406" s="784"/>
      <c r="C406" s="766" t="s">
        <v>5</v>
      </c>
      <c r="D406" s="766"/>
      <c r="E406" s="766"/>
      <c r="F406" s="766"/>
      <c r="G406" s="766"/>
      <c r="H406" s="766"/>
      <c r="I406" s="766"/>
      <c r="J406" s="766"/>
      <c r="K406" s="766"/>
      <c r="L406" s="766"/>
      <c r="M406" s="766"/>
      <c r="N406" s="766"/>
      <c r="O406" s="766"/>
      <c r="P406" s="766"/>
      <c r="Q406" s="766"/>
      <c r="R406" s="766"/>
      <c r="S406" s="834"/>
      <c r="T406" s="835"/>
    </row>
    <row r="407" spans="1:20" ht="18" customHeight="1" thickBot="1">
      <c r="A407" s="785"/>
      <c r="B407" s="786"/>
      <c r="C407" s="780" t="s">
        <v>483</v>
      </c>
      <c r="D407" s="780"/>
      <c r="E407" s="780"/>
      <c r="F407" s="780"/>
      <c r="G407" s="780"/>
      <c r="H407" s="780"/>
      <c r="I407" s="780"/>
      <c r="J407" s="780"/>
      <c r="K407" s="780"/>
      <c r="L407" s="780"/>
      <c r="M407" s="780"/>
      <c r="N407" s="780"/>
      <c r="O407" s="780"/>
      <c r="P407" s="780"/>
      <c r="Q407" s="780"/>
      <c r="R407" s="780"/>
      <c r="S407" s="838"/>
      <c r="T407" s="839"/>
    </row>
    <row r="408" spans="1:20" ht="16.5" thickBot="1">
      <c r="A408" s="745" t="s">
        <v>332</v>
      </c>
      <c r="B408" s="746"/>
      <c r="C408" s="747">
        <f>+C409+C413</f>
        <v>83000000</v>
      </c>
      <c r="D408" s="748"/>
      <c r="E408" s="748"/>
      <c r="F408" s="748"/>
      <c r="G408" s="747">
        <f>+G409+G413</f>
        <v>97550000</v>
      </c>
      <c r="H408" s="748"/>
      <c r="I408" s="748"/>
      <c r="J408" s="748"/>
      <c r="K408" s="747">
        <f>+K409+K413</f>
        <v>102964250</v>
      </c>
      <c r="L408" s="748"/>
      <c r="M408" s="748"/>
      <c r="N408" s="748"/>
      <c r="O408" s="747">
        <f>+O409+O413</f>
        <v>104497999</v>
      </c>
      <c r="P408" s="748"/>
      <c r="Q408" s="748"/>
      <c r="R408" s="748"/>
      <c r="S408" s="757">
        <f>SUM(C408:R408)</f>
        <v>388012249</v>
      </c>
      <c r="T408" s="758"/>
    </row>
    <row r="409" spans="1:20" ht="27" customHeight="1" thickBot="1">
      <c r="A409" s="749" t="s">
        <v>428</v>
      </c>
      <c r="B409" s="750"/>
      <c r="C409" s="751">
        <f>SUM(C410:F412)</f>
        <v>18000000</v>
      </c>
      <c r="D409" s="752"/>
      <c r="E409" s="752"/>
      <c r="F409" s="753"/>
      <c r="G409" s="751">
        <f>SUM(G410:J412)</f>
        <v>11675000</v>
      </c>
      <c r="H409" s="752"/>
      <c r="I409" s="752"/>
      <c r="J409" s="753"/>
      <c r="K409" s="751">
        <f>SUM(K410:N412)</f>
        <v>14083625</v>
      </c>
      <c r="L409" s="752"/>
      <c r="M409" s="752"/>
      <c r="N409" s="753"/>
      <c r="O409" s="751">
        <f>SUM(O410:R412)</f>
        <v>12506552</v>
      </c>
      <c r="P409" s="752"/>
      <c r="Q409" s="752"/>
      <c r="R409" s="752"/>
      <c r="S409" s="759">
        <f>SUM(S410:S412)</f>
        <v>56265177</v>
      </c>
      <c r="T409" s="760"/>
    </row>
    <row r="410" spans="1:20" ht="30" customHeight="1">
      <c r="A410" s="384" t="s">
        <v>382</v>
      </c>
      <c r="B410" s="373" t="s">
        <v>207</v>
      </c>
      <c r="C410" s="120">
        <v>13000000</v>
      </c>
      <c r="D410" s="121"/>
      <c r="E410" s="121"/>
      <c r="F410" s="132"/>
      <c r="G410" s="123">
        <f>5000000+1500000</f>
        <v>6500000</v>
      </c>
      <c r="H410" s="121"/>
      <c r="I410" s="121"/>
      <c r="J410" s="183"/>
      <c r="K410" s="123">
        <v>6727500</v>
      </c>
      <c r="L410" s="121"/>
      <c r="M410" s="121"/>
      <c r="N410" s="132"/>
      <c r="O410" s="123">
        <v>6962963</v>
      </c>
      <c r="P410" s="121"/>
      <c r="Q410" s="121"/>
      <c r="R410" s="132"/>
      <c r="S410" s="294">
        <f>SUM(C410:R410)</f>
        <v>33190463</v>
      </c>
      <c r="T410" s="436" t="s">
        <v>395</v>
      </c>
    </row>
    <row r="411" spans="1:20" ht="25.5">
      <c r="A411" s="385" t="s">
        <v>335</v>
      </c>
      <c r="B411" s="119" t="s">
        <v>484</v>
      </c>
      <c r="C411" s="133">
        <v>5000000</v>
      </c>
      <c r="D411" s="134"/>
      <c r="E411" s="134"/>
      <c r="F411" s="137"/>
      <c r="G411" s="136">
        <v>5175000</v>
      </c>
      <c r="H411" s="134"/>
      <c r="I411" s="134"/>
      <c r="J411" s="184"/>
      <c r="K411" s="136">
        <v>5356125</v>
      </c>
      <c r="L411" s="134"/>
      <c r="M411" s="134"/>
      <c r="N411" s="137"/>
      <c r="O411" s="136">
        <v>5543589</v>
      </c>
      <c r="P411" s="134"/>
      <c r="Q411" s="134"/>
      <c r="R411" s="137"/>
      <c r="S411" s="294">
        <f>SUM(C411:R411)</f>
        <v>21074714</v>
      </c>
      <c r="T411" s="436"/>
    </row>
    <row r="412" spans="1:20" ht="29.25" customHeight="1" thickBot="1">
      <c r="A412" s="383" t="s">
        <v>346</v>
      </c>
      <c r="B412" s="374" t="s">
        <v>485</v>
      </c>
      <c r="C412" s="113"/>
      <c r="D412" s="114"/>
      <c r="E412" s="114"/>
      <c r="F412" s="140"/>
      <c r="G412" s="116"/>
      <c r="H412" s="114"/>
      <c r="I412" s="114"/>
      <c r="J412" s="140"/>
      <c r="K412" s="116">
        <v>2000000</v>
      </c>
      <c r="L412" s="114"/>
      <c r="M412" s="114"/>
      <c r="N412" s="140"/>
      <c r="O412" s="116"/>
      <c r="P412" s="114"/>
      <c r="Q412" s="114"/>
      <c r="R412" s="140"/>
      <c r="S412" s="294">
        <f>SUM(C412:R412)</f>
        <v>2000000</v>
      </c>
      <c r="T412" s="436"/>
    </row>
    <row r="413" spans="1:20" ht="27" customHeight="1" thickBot="1">
      <c r="A413" s="749" t="s">
        <v>429</v>
      </c>
      <c r="B413" s="770"/>
      <c r="C413" s="751">
        <f>SUM(C414:F415)</f>
        <v>65000000</v>
      </c>
      <c r="D413" s="752"/>
      <c r="E413" s="752"/>
      <c r="F413" s="753"/>
      <c r="G413" s="751">
        <f>SUM(G414:J415)</f>
        <v>85875000</v>
      </c>
      <c r="H413" s="752"/>
      <c r="I413" s="752"/>
      <c r="J413" s="753"/>
      <c r="K413" s="751">
        <f>SUM(K414:N415)</f>
        <v>88880625</v>
      </c>
      <c r="L413" s="752"/>
      <c r="M413" s="752"/>
      <c r="N413" s="753"/>
      <c r="O413" s="751">
        <f>SUM(O414:R415)</f>
        <v>91991447</v>
      </c>
      <c r="P413" s="752"/>
      <c r="Q413" s="752"/>
      <c r="R413" s="752"/>
      <c r="S413" s="759">
        <f>SUM(S414:S415)</f>
        <v>331747072</v>
      </c>
      <c r="T413" s="760"/>
    </row>
    <row r="414" spans="1:20" ht="38.25">
      <c r="A414" s="767" t="s">
        <v>346</v>
      </c>
      <c r="B414" s="141" t="s">
        <v>208</v>
      </c>
      <c r="C414" s="103">
        <v>45000000</v>
      </c>
      <c r="D414" s="104"/>
      <c r="E414" s="104"/>
      <c r="F414" s="105"/>
      <c r="G414" s="106">
        <v>60000000</v>
      </c>
      <c r="H414" s="104"/>
      <c r="I414" s="104"/>
      <c r="J414" s="105"/>
      <c r="K414" s="106">
        <v>62100000</v>
      </c>
      <c r="L414" s="104"/>
      <c r="M414" s="104"/>
      <c r="N414" s="105"/>
      <c r="O414" s="106">
        <v>64273500</v>
      </c>
      <c r="P414" s="104"/>
      <c r="Q414" s="104"/>
      <c r="R414" s="289"/>
      <c r="S414" s="294">
        <f>SUM(C414:R414)</f>
        <v>231373500</v>
      </c>
      <c r="T414" s="781" t="s">
        <v>395</v>
      </c>
    </row>
    <row r="415" spans="1:20" ht="26.25" thickBot="1">
      <c r="A415" s="756"/>
      <c r="B415" s="142" t="s">
        <v>209</v>
      </c>
      <c r="C415" s="113">
        <v>20000000</v>
      </c>
      <c r="D415" s="114"/>
      <c r="E415" s="114"/>
      <c r="F415" s="115"/>
      <c r="G415" s="116">
        <v>25875000</v>
      </c>
      <c r="H415" s="114"/>
      <c r="I415" s="114"/>
      <c r="J415" s="115"/>
      <c r="K415" s="116">
        <v>26780625</v>
      </c>
      <c r="L415" s="114"/>
      <c r="M415" s="114"/>
      <c r="N415" s="115"/>
      <c r="O415" s="116">
        <v>27717947</v>
      </c>
      <c r="P415" s="114"/>
      <c r="Q415" s="114"/>
      <c r="R415" s="140"/>
      <c r="S415" s="294">
        <f>SUM(C415:R415)</f>
        <v>100373572</v>
      </c>
      <c r="T415" s="781"/>
    </row>
    <row r="416" spans="1:20" ht="16.5" thickBot="1">
      <c r="A416" s="564" t="s">
        <v>280</v>
      </c>
      <c r="B416" s="718"/>
      <c r="C416" s="226">
        <f>+C410+C411+C412+C414+C415</f>
        <v>83000000</v>
      </c>
      <c r="D416" s="227">
        <f aca="true" t="shared" si="31" ref="D416:R416">+D410+D411+D412+D414+D415</f>
        <v>0</v>
      </c>
      <c r="E416" s="227">
        <f t="shared" si="31"/>
        <v>0</v>
      </c>
      <c r="F416" s="228">
        <f t="shared" si="31"/>
        <v>0</v>
      </c>
      <c r="G416" s="229">
        <f>+G410+G411+G412+G414+G415</f>
        <v>97550000</v>
      </c>
      <c r="H416" s="227">
        <f t="shared" si="31"/>
        <v>0</v>
      </c>
      <c r="I416" s="227">
        <f t="shared" si="31"/>
        <v>0</v>
      </c>
      <c r="J416" s="228">
        <f t="shared" si="31"/>
        <v>0</v>
      </c>
      <c r="K416" s="229">
        <f t="shared" si="31"/>
        <v>102964250</v>
      </c>
      <c r="L416" s="227">
        <f t="shared" si="31"/>
        <v>0</v>
      </c>
      <c r="M416" s="227">
        <f t="shared" si="31"/>
        <v>0</v>
      </c>
      <c r="N416" s="228">
        <f t="shared" si="31"/>
        <v>0</v>
      </c>
      <c r="O416" s="229">
        <f t="shared" si="31"/>
        <v>104497999</v>
      </c>
      <c r="P416" s="227">
        <f t="shared" si="31"/>
        <v>0</v>
      </c>
      <c r="Q416" s="227">
        <f t="shared" si="31"/>
        <v>0</v>
      </c>
      <c r="R416" s="265">
        <f t="shared" si="31"/>
        <v>0</v>
      </c>
      <c r="S416" s="539">
        <f>+S409+S413</f>
        <v>388012249</v>
      </c>
      <c r="T416" s="540"/>
    </row>
    <row r="417" spans="1:20" ht="18" customHeight="1">
      <c r="A417" s="783" t="s">
        <v>499</v>
      </c>
      <c r="B417" s="784"/>
      <c r="C417" s="820" t="s">
        <v>5</v>
      </c>
      <c r="D417" s="821"/>
      <c r="E417" s="821"/>
      <c r="F417" s="821"/>
      <c r="G417" s="821"/>
      <c r="H417" s="821"/>
      <c r="I417" s="821"/>
      <c r="J417" s="821"/>
      <c r="K417" s="821"/>
      <c r="L417" s="821"/>
      <c r="M417" s="821"/>
      <c r="N417" s="821"/>
      <c r="O417" s="821"/>
      <c r="P417" s="821"/>
      <c r="Q417" s="821"/>
      <c r="R417" s="821"/>
      <c r="S417" s="834"/>
      <c r="T417" s="835"/>
    </row>
    <row r="418" spans="1:20" ht="18" customHeight="1" thickBot="1">
      <c r="A418" s="785"/>
      <c r="B418" s="786"/>
      <c r="C418" s="545" t="s">
        <v>210</v>
      </c>
      <c r="D418" s="546"/>
      <c r="E418" s="546"/>
      <c r="F418" s="546"/>
      <c r="G418" s="546"/>
      <c r="H418" s="546"/>
      <c r="I418" s="546"/>
      <c r="J418" s="546"/>
      <c r="K418" s="546"/>
      <c r="L418" s="546"/>
      <c r="M418" s="546"/>
      <c r="N418" s="546"/>
      <c r="O418" s="546"/>
      <c r="P418" s="546"/>
      <c r="Q418" s="546"/>
      <c r="R418" s="546"/>
      <c r="S418" s="838"/>
      <c r="T418" s="839"/>
    </row>
    <row r="419" spans="1:20" ht="16.5" thickBot="1">
      <c r="A419" s="745" t="s">
        <v>333</v>
      </c>
      <c r="B419" s="746"/>
      <c r="C419" s="747">
        <f>+C420</f>
        <v>75000000</v>
      </c>
      <c r="D419" s="748"/>
      <c r="E419" s="748"/>
      <c r="F419" s="748"/>
      <c r="G419" s="747">
        <f>+G420</f>
        <v>117625000</v>
      </c>
      <c r="H419" s="748"/>
      <c r="I419" s="748"/>
      <c r="J419" s="748"/>
      <c r="K419" s="747">
        <f>+K420</f>
        <v>120341875</v>
      </c>
      <c r="L419" s="748"/>
      <c r="M419" s="748"/>
      <c r="N419" s="748"/>
      <c r="O419" s="747">
        <f>+O420</f>
        <v>83153841</v>
      </c>
      <c r="P419" s="748"/>
      <c r="Q419" s="748"/>
      <c r="R419" s="748"/>
      <c r="S419" s="757">
        <f>SUM(C419:R419)</f>
        <v>396120716</v>
      </c>
      <c r="T419" s="758"/>
    </row>
    <row r="420" spans="1:20" ht="27" customHeight="1" thickBot="1">
      <c r="A420" s="769" t="s">
        <v>430</v>
      </c>
      <c r="B420" s="770"/>
      <c r="C420" s="733">
        <f>SUM(C421:F422)</f>
        <v>75000000</v>
      </c>
      <c r="D420" s="734"/>
      <c r="E420" s="734"/>
      <c r="F420" s="735"/>
      <c r="G420" s="733">
        <f>SUM(G421:J422)</f>
        <v>117625000</v>
      </c>
      <c r="H420" s="734"/>
      <c r="I420" s="734"/>
      <c r="J420" s="735"/>
      <c r="K420" s="733">
        <f>SUM(K421:N422)</f>
        <v>120341875</v>
      </c>
      <c r="L420" s="734"/>
      <c r="M420" s="734"/>
      <c r="N420" s="735"/>
      <c r="O420" s="733">
        <f>SUM(O421:R422)</f>
        <v>83153841</v>
      </c>
      <c r="P420" s="734"/>
      <c r="Q420" s="734"/>
      <c r="R420" s="734"/>
      <c r="S420" s="759">
        <f>SUM(S421:S422)</f>
        <v>396120716</v>
      </c>
      <c r="T420" s="760"/>
    </row>
    <row r="421" spans="1:20" ht="38.25">
      <c r="A421" s="771" t="s">
        <v>346</v>
      </c>
      <c r="B421" s="143" t="s">
        <v>211</v>
      </c>
      <c r="C421" s="103"/>
      <c r="D421" s="104"/>
      <c r="E421" s="104"/>
      <c r="F421" s="105"/>
      <c r="G421" s="106">
        <v>40000000</v>
      </c>
      <c r="H421" s="104"/>
      <c r="I421" s="104"/>
      <c r="J421" s="105"/>
      <c r="K421" s="106">
        <v>40000000</v>
      </c>
      <c r="L421" s="104"/>
      <c r="M421" s="104"/>
      <c r="N421" s="105"/>
      <c r="O421" s="106"/>
      <c r="P421" s="104"/>
      <c r="Q421" s="104"/>
      <c r="R421" s="289"/>
      <c r="S421" s="294">
        <f>SUM(C421:R421)</f>
        <v>80000000</v>
      </c>
      <c r="T421" s="781" t="s">
        <v>395</v>
      </c>
    </row>
    <row r="422" spans="1:20" ht="26.25" customHeight="1" thickBot="1">
      <c r="A422" s="782"/>
      <c r="B422" s="144" t="s">
        <v>212</v>
      </c>
      <c r="C422" s="113">
        <v>75000000</v>
      </c>
      <c r="D422" s="114"/>
      <c r="E422" s="114"/>
      <c r="F422" s="115"/>
      <c r="G422" s="116">
        <v>77625000</v>
      </c>
      <c r="H422" s="114"/>
      <c r="I422" s="114"/>
      <c r="J422" s="115"/>
      <c r="K422" s="116">
        <v>80341875</v>
      </c>
      <c r="L422" s="114"/>
      <c r="M422" s="114"/>
      <c r="N422" s="115"/>
      <c r="O422" s="116">
        <v>83153841</v>
      </c>
      <c r="P422" s="114"/>
      <c r="Q422" s="114"/>
      <c r="R422" s="140"/>
      <c r="S422" s="294">
        <f>SUM(C422:R422)</f>
        <v>316120716</v>
      </c>
      <c r="T422" s="781"/>
    </row>
    <row r="423" spans="1:20" ht="16.5" thickBot="1">
      <c r="A423" s="564" t="s">
        <v>280</v>
      </c>
      <c r="B423" s="718"/>
      <c r="C423" s="226">
        <f>+C421+C422</f>
        <v>75000000</v>
      </c>
      <c r="D423" s="227">
        <f aca="true" t="shared" si="32" ref="D423:R423">+D421+D422</f>
        <v>0</v>
      </c>
      <c r="E423" s="227">
        <f t="shared" si="32"/>
        <v>0</v>
      </c>
      <c r="F423" s="228">
        <f t="shared" si="32"/>
        <v>0</v>
      </c>
      <c r="G423" s="229">
        <f>+G421+G422</f>
        <v>117625000</v>
      </c>
      <c r="H423" s="227">
        <f t="shared" si="32"/>
        <v>0</v>
      </c>
      <c r="I423" s="227">
        <f t="shared" si="32"/>
        <v>0</v>
      </c>
      <c r="J423" s="228">
        <f t="shared" si="32"/>
        <v>0</v>
      </c>
      <c r="K423" s="229">
        <f t="shared" si="32"/>
        <v>120341875</v>
      </c>
      <c r="L423" s="227">
        <f t="shared" si="32"/>
        <v>0</v>
      </c>
      <c r="M423" s="227">
        <f t="shared" si="32"/>
        <v>0</v>
      </c>
      <c r="N423" s="228">
        <f t="shared" si="32"/>
        <v>0</v>
      </c>
      <c r="O423" s="229">
        <f t="shared" si="32"/>
        <v>83153841</v>
      </c>
      <c r="P423" s="227">
        <f t="shared" si="32"/>
        <v>0</v>
      </c>
      <c r="Q423" s="227">
        <f t="shared" si="32"/>
        <v>0</v>
      </c>
      <c r="R423" s="265">
        <f t="shared" si="32"/>
        <v>0</v>
      </c>
      <c r="S423" s="539">
        <f>+S420</f>
        <v>396120716</v>
      </c>
      <c r="T423" s="540"/>
    </row>
    <row r="424" spans="1:20" ht="15.75" thickBot="1">
      <c r="A424" s="2"/>
      <c r="B424" s="3"/>
      <c r="C424" s="4"/>
      <c r="D424" s="4"/>
      <c r="E424" s="4"/>
      <c r="F424" s="4"/>
      <c r="G424" s="4"/>
      <c r="H424" s="4"/>
      <c r="I424" s="4"/>
      <c r="J424" s="4"/>
      <c r="K424" s="4"/>
      <c r="L424" s="4"/>
      <c r="M424" s="4"/>
      <c r="N424" s="4"/>
      <c r="O424" s="4"/>
      <c r="P424" s="4"/>
      <c r="Q424" s="4"/>
      <c r="R424" s="4"/>
      <c r="S424" s="4"/>
      <c r="T424" s="145"/>
    </row>
    <row r="425" spans="1:20" ht="21.75" customHeight="1" thickBot="1">
      <c r="A425" s="2"/>
      <c r="B425" s="793" t="s">
        <v>301</v>
      </c>
      <c r="C425" s="796">
        <v>2012</v>
      </c>
      <c r="D425" s="797"/>
      <c r="E425" s="797"/>
      <c r="F425" s="798"/>
      <c r="G425" s="796">
        <v>2013</v>
      </c>
      <c r="H425" s="797"/>
      <c r="I425" s="797"/>
      <c r="J425" s="798"/>
      <c r="K425" s="799">
        <v>2014</v>
      </c>
      <c r="L425" s="800"/>
      <c r="M425" s="800"/>
      <c r="N425" s="801"/>
      <c r="O425" s="799">
        <v>2015</v>
      </c>
      <c r="P425" s="800"/>
      <c r="Q425" s="800"/>
      <c r="R425" s="801"/>
      <c r="S425" s="4"/>
      <c r="T425" s="145"/>
    </row>
    <row r="426" spans="1:20" ht="27" customHeight="1" thickBot="1">
      <c r="A426" s="2"/>
      <c r="B426" s="794"/>
      <c r="C426" s="200" t="s">
        <v>1</v>
      </c>
      <c r="D426" s="201" t="s">
        <v>2</v>
      </c>
      <c r="E426" s="201" t="s">
        <v>3</v>
      </c>
      <c r="F426" s="201" t="s">
        <v>4</v>
      </c>
      <c r="G426" s="200" t="s">
        <v>1</v>
      </c>
      <c r="H426" s="201" t="s">
        <v>2</v>
      </c>
      <c r="I426" s="201" t="s">
        <v>3</v>
      </c>
      <c r="J426" s="201" t="s">
        <v>4</v>
      </c>
      <c r="K426" s="156" t="s">
        <v>1</v>
      </c>
      <c r="L426" s="157" t="s">
        <v>2</v>
      </c>
      <c r="M426" s="157" t="s">
        <v>3</v>
      </c>
      <c r="N426" s="158" t="s">
        <v>4</v>
      </c>
      <c r="O426" s="211" t="s">
        <v>1</v>
      </c>
      <c r="P426" s="157" t="s">
        <v>2</v>
      </c>
      <c r="Q426" s="157" t="s">
        <v>3</v>
      </c>
      <c r="R426" s="158" t="s">
        <v>4</v>
      </c>
      <c r="S426" s="4"/>
      <c r="T426" s="145"/>
    </row>
    <row r="427" spans="1:20" ht="21.75" customHeight="1" thickBot="1">
      <c r="A427" s="2"/>
      <c r="B427" s="795"/>
      <c r="C427" s="159">
        <f aca="true" t="shared" si="33" ref="C427:R427">+C423+C416+C405+C387+C373+C341+C333+C315+C297+C278+C256+C239+C213+C203+C179+C161+C136+C126+C87+C61+C40+C27</f>
        <v>7700496505</v>
      </c>
      <c r="D427" s="159">
        <f t="shared" si="33"/>
        <v>3104392855</v>
      </c>
      <c r="E427" s="159">
        <f t="shared" si="33"/>
        <v>780396219</v>
      </c>
      <c r="F427" s="159">
        <f t="shared" si="33"/>
        <v>156538226</v>
      </c>
      <c r="G427" s="159">
        <f t="shared" si="33"/>
        <v>7970013882</v>
      </c>
      <c r="H427" s="159">
        <f t="shared" si="33"/>
        <v>3213046605</v>
      </c>
      <c r="I427" s="159">
        <f t="shared" si="33"/>
        <v>1367651781</v>
      </c>
      <c r="J427" s="159">
        <f t="shared" si="33"/>
        <v>860267064</v>
      </c>
      <c r="K427" s="159">
        <f t="shared" si="33"/>
        <v>8248964350</v>
      </c>
      <c r="L427" s="159">
        <f t="shared" si="33"/>
        <v>3325503240</v>
      </c>
      <c r="M427" s="159">
        <f t="shared" si="33"/>
        <v>990019594</v>
      </c>
      <c r="N427" s="159">
        <f t="shared" si="33"/>
        <v>719126411</v>
      </c>
      <c r="O427" s="159">
        <f t="shared" si="33"/>
        <v>8537678141</v>
      </c>
      <c r="P427" s="159">
        <f t="shared" si="33"/>
        <v>3441895829</v>
      </c>
      <c r="Q427" s="159">
        <f t="shared" si="33"/>
        <v>422470280</v>
      </c>
      <c r="R427" s="212">
        <f t="shared" si="33"/>
        <v>418120837</v>
      </c>
      <c r="S427" s="4"/>
      <c r="T427" s="145"/>
    </row>
    <row r="428" spans="1:20" ht="19.5" customHeight="1" thickBot="1">
      <c r="A428" s="2"/>
      <c r="B428" s="817" t="s">
        <v>302</v>
      </c>
      <c r="C428" s="787">
        <f>+C427+D427+E427+F427</f>
        <v>11741823805</v>
      </c>
      <c r="D428" s="788"/>
      <c r="E428" s="788"/>
      <c r="F428" s="789"/>
      <c r="G428" s="787">
        <f>+G427+H427+I427+J427</f>
        <v>13410979332</v>
      </c>
      <c r="H428" s="788"/>
      <c r="I428" s="788"/>
      <c r="J428" s="789"/>
      <c r="K428" s="787">
        <f>+K427+L427+M427+N427</f>
        <v>13283613595</v>
      </c>
      <c r="L428" s="788"/>
      <c r="M428" s="788"/>
      <c r="N428" s="789"/>
      <c r="O428" s="787">
        <f>SUM(O427:R427)</f>
        <v>12820165087</v>
      </c>
      <c r="P428" s="788"/>
      <c r="Q428" s="788"/>
      <c r="R428" s="789"/>
      <c r="S428" s="4"/>
      <c r="T428" s="145"/>
    </row>
    <row r="429" spans="1:20" ht="19.5" customHeight="1" thickBot="1">
      <c r="A429" s="2"/>
      <c r="B429" s="818"/>
      <c r="C429" s="802">
        <f>C428/C430</f>
        <v>0.22907933748807832</v>
      </c>
      <c r="D429" s="803"/>
      <c r="E429" s="803"/>
      <c r="F429" s="804"/>
      <c r="G429" s="802">
        <f>G428/C430</f>
        <v>0.2616440436734071</v>
      </c>
      <c r="H429" s="803"/>
      <c r="I429" s="803"/>
      <c r="J429" s="804"/>
      <c r="K429" s="802">
        <f>K428/C430</f>
        <v>0.25915917768195723</v>
      </c>
      <c r="L429" s="803"/>
      <c r="M429" s="803"/>
      <c r="N429" s="804"/>
      <c r="O429" s="802">
        <f>O428/C430</f>
        <v>0.2501174411565574</v>
      </c>
      <c r="P429" s="803"/>
      <c r="Q429" s="803"/>
      <c r="R429" s="804"/>
      <c r="S429" s="4"/>
      <c r="T429" s="145"/>
    </row>
    <row r="430" spans="1:20" ht="19.5" customHeight="1" thickBot="1">
      <c r="A430" s="2"/>
      <c r="B430" s="819"/>
      <c r="C430" s="790">
        <f>SUM(C428:R428)</f>
        <v>51256581819</v>
      </c>
      <c r="D430" s="791"/>
      <c r="E430" s="791"/>
      <c r="F430" s="791"/>
      <c r="G430" s="791"/>
      <c r="H430" s="791"/>
      <c r="I430" s="791"/>
      <c r="J430" s="791"/>
      <c r="K430" s="791"/>
      <c r="L430" s="791"/>
      <c r="M430" s="791"/>
      <c r="N430" s="791"/>
      <c r="O430" s="791"/>
      <c r="P430" s="791"/>
      <c r="Q430" s="791"/>
      <c r="R430" s="792"/>
      <c r="S430" s="4"/>
      <c r="T430" s="145"/>
    </row>
    <row r="431" spans="1:20" ht="15.75" thickBot="1">
      <c r="A431" s="2"/>
      <c r="B431" s="3"/>
      <c r="C431" s="4"/>
      <c r="D431" s="4"/>
      <c r="E431" s="4"/>
      <c r="F431" s="4"/>
      <c r="G431" s="4"/>
      <c r="H431" s="4"/>
      <c r="I431" s="4"/>
      <c r="J431" s="4"/>
      <c r="K431" s="4"/>
      <c r="L431" s="4"/>
      <c r="M431" s="4"/>
      <c r="N431" s="4"/>
      <c r="O431" s="4"/>
      <c r="P431" s="4"/>
      <c r="Q431" s="4"/>
      <c r="R431" s="4"/>
      <c r="S431" s="4"/>
      <c r="T431" s="145"/>
    </row>
    <row r="432" spans="1:20" ht="19.5" customHeight="1">
      <c r="A432" s="2"/>
      <c r="B432" s="354" t="s">
        <v>303</v>
      </c>
      <c r="C432" s="811">
        <f>+C427+G427+K427+O427</f>
        <v>32457152878</v>
      </c>
      <c r="D432" s="812"/>
      <c r="E432" s="430">
        <f>C432/C436</f>
        <v>0.6332289771607176</v>
      </c>
      <c r="F432" s="4"/>
      <c r="G432" s="202"/>
      <c r="H432" s="202"/>
      <c r="I432" s="202"/>
      <c r="J432" s="202"/>
      <c r="K432" s="4"/>
      <c r="L432" s="4"/>
      <c r="M432" s="4"/>
      <c r="N432" s="4"/>
      <c r="O432" s="318"/>
      <c r="P432" s="318"/>
      <c r="Q432" s="4"/>
      <c r="R432" s="4"/>
      <c r="S432" s="4"/>
      <c r="T432" s="145"/>
    </row>
    <row r="433" spans="1:20" ht="19.5" customHeight="1">
      <c r="A433" s="2"/>
      <c r="B433" s="319" t="s">
        <v>304</v>
      </c>
      <c r="C433" s="813">
        <f>+D427+H427+L427+P427</f>
        <v>13084838529</v>
      </c>
      <c r="D433" s="814"/>
      <c r="E433" s="430">
        <f>C433/C436</f>
        <v>0.2552811378489086</v>
      </c>
      <c r="F433" s="202"/>
      <c r="G433" s="202"/>
      <c r="H433" s="4"/>
      <c r="I433" s="202"/>
      <c r="J433" s="4"/>
      <c r="K433" s="4"/>
      <c r="L433" s="4"/>
      <c r="M433" s="4"/>
      <c r="N433" s="4"/>
      <c r="O433" s="4"/>
      <c r="P433" s="4"/>
      <c r="Q433" s="4"/>
      <c r="R433" s="4"/>
      <c r="S433" s="4"/>
      <c r="T433" s="145"/>
    </row>
    <row r="434" spans="1:20" ht="19.5" customHeight="1">
      <c r="A434" s="2"/>
      <c r="B434" s="210" t="s">
        <v>305</v>
      </c>
      <c r="C434" s="813">
        <f>+E427+I427+M427+Q427</f>
        <v>3560537874</v>
      </c>
      <c r="D434" s="814"/>
      <c r="E434" s="430">
        <f>C434/C436</f>
        <v>0.06946498864425184</v>
      </c>
      <c r="F434" s="202"/>
      <c r="G434" s="4"/>
      <c r="H434" s="4"/>
      <c r="I434" s="4"/>
      <c r="J434" s="4"/>
      <c r="K434" s="4"/>
      <c r="L434" s="4"/>
      <c r="M434" s="4"/>
      <c r="N434" s="4"/>
      <c r="O434" s="4"/>
      <c r="P434" s="4"/>
      <c r="Q434" s="4"/>
      <c r="R434" s="4"/>
      <c r="S434" s="4"/>
      <c r="T434" s="145"/>
    </row>
    <row r="435" spans="1:20" ht="19.5" customHeight="1">
      <c r="A435" s="2"/>
      <c r="B435" s="210" t="s">
        <v>306</v>
      </c>
      <c r="C435" s="813">
        <f>+F427+J427+R427+N427</f>
        <v>2154052538</v>
      </c>
      <c r="D435" s="814"/>
      <c r="E435" s="430">
        <f>C435/C436</f>
        <v>0.04202489634612207</v>
      </c>
      <c r="F435" s="4"/>
      <c r="G435" s="4"/>
      <c r="H435" s="4"/>
      <c r="I435" s="4"/>
      <c r="J435" s="4"/>
      <c r="K435" s="4"/>
      <c r="L435" s="4"/>
      <c r="M435" s="4"/>
      <c r="N435" s="4"/>
      <c r="O435" s="4"/>
      <c r="P435" s="4"/>
      <c r="Q435" s="4"/>
      <c r="R435" s="4"/>
      <c r="S435" s="4"/>
      <c r="T435" s="145"/>
    </row>
    <row r="436" spans="1:20" ht="34.5" customHeight="1" thickBot="1">
      <c r="A436" s="2"/>
      <c r="B436" s="355" t="s">
        <v>307</v>
      </c>
      <c r="C436" s="815">
        <f>SUM(C432:D435)</f>
        <v>51256581819</v>
      </c>
      <c r="D436" s="816"/>
      <c r="E436" s="4"/>
      <c r="F436" s="4"/>
      <c r="G436" s="4"/>
      <c r="H436" s="4"/>
      <c r="I436" s="4"/>
      <c r="J436" s="4"/>
      <c r="K436" s="4"/>
      <c r="L436" s="4"/>
      <c r="M436" s="4"/>
      <c r="N436" s="4"/>
      <c r="O436" s="4"/>
      <c r="P436" s="4"/>
      <c r="Q436" s="4"/>
      <c r="R436" s="4"/>
      <c r="S436" s="4"/>
      <c r="T436" s="145"/>
    </row>
    <row r="437" spans="1:20" ht="15">
      <c r="A437" s="2"/>
      <c r="B437" s="3"/>
      <c r="C437" s="4"/>
      <c r="D437" s="4"/>
      <c r="E437" s="4"/>
      <c r="F437" s="4"/>
      <c r="G437" s="4"/>
      <c r="H437" s="202"/>
      <c r="I437" s="4"/>
      <c r="J437" s="4"/>
      <c r="K437" s="4"/>
      <c r="L437" s="4"/>
      <c r="M437" s="4"/>
      <c r="N437" s="4"/>
      <c r="O437" s="4"/>
      <c r="P437" s="4"/>
      <c r="Q437" s="4"/>
      <c r="R437" s="4"/>
      <c r="S437" s="4"/>
      <c r="T437" s="145"/>
    </row>
  </sheetData>
  <sheetProtection/>
  <autoFilter ref="A3:R423"/>
  <mergeCells count="831">
    <mergeCell ref="A248:A251"/>
    <mergeCell ref="A252:A255"/>
    <mergeCell ref="A273:A274"/>
    <mergeCell ref="T71:T72"/>
    <mergeCell ref="S342:S343"/>
    <mergeCell ref="T342:T343"/>
    <mergeCell ref="S388:S389"/>
    <mergeCell ref="T388:T389"/>
    <mergeCell ref="S417:T418"/>
    <mergeCell ref="S416:T416"/>
    <mergeCell ref="S246:T246"/>
    <mergeCell ref="S256:T256"/>
    <mergeCell ref="S261:T261"/>
    <mergeCell ref="S262:T262"/>
    <mergeCell ref="S266:T266"/>
    <mergeCell ref="S268:T268"/>
    <mergeCell ref="T290:T292"/>
    <mergeCell ref="S275:T275"/>
    <mergeCell ref="S189:T189"/>
    <mergeCell ref="S136:T136"/>
    <mergeCell ref="S142:T142"/>
    <mergeCell ref="S143:T143"/>
    <mergeCell ref="S146:T146"/>
    <mergeCell ref="S149:T149"/>
    <mergeCell ref="T240:T241"/>
    <mergeCell ref="S197:T197"/>
    <mergeCell ref="S203:T203"/>
    <mergeCell ref="S207:T207"/>
    <mergeCell ref="S208:T208"/>
    <mergeCell ref="S213:T213"/>
    <mergeCell ref="S220:T220"/>
    <mergeCell ref="T224:T226"/>
    <mergeCell ref="T227:T231"/>
    <mergeCell ref="T233:T235"/>
    <mergeCell ref="T237:T238"/>
    <mergeCell ref="T198:T202"/>
    <mergeCell ref="S223:T223"/>
    <mergeCell ref="S232:T232"/>
    <mergeCell ref="S420:T420"/>
    <mergeCell ref="S423:T423"/>
    <mergeCell ref="S204:T206"/>
    <mergeCell ref="S316:T321"/>
    <mergeCell ref="S406:T407"/>
    <mergeCell ref="S348:T348"/>
    <mergeCell ref="S354:T354"/>
    <mergeCell ref="S361:T361"/>
    <mergeCell ref="S364:T364"/>
    <mergeCell ref="S367:T367"/>
    <mergeCell ref="S373:T373"/>
    <mergeCell ref="S331:T331"/>
    <mergeCell ref="S333:T333"/>
    <mergeCell ref="S336:T336"/>
    <mergeCell ref="S337:T337"/>
    <mergeCell ref="S341:T341"/>
    <mergeCell ref="S347:T347"/>
    <mergeCell ref="S303:T303"/>
    <mergeCell ref="S304:T304"/>
    <mergeCell ref="S311:T311"/>
    <mergeCell ref="S236:T236"/>
    <mergeCell ref="S239:T239"/>
    <mergeCell ref="S245:T245"/>
    <mergeCell ref="S240:S241"/>
    <mergeCell ref="S69:T69"/>
    <mergeCell ref="S70:T70"/>
    <mergeCell ref="S73:T73"/>
    <mergeCell ref="S80:T80"/>
    <mergeCell ref="S87:T87"/>
    <mergeCell ref="T81:T86"/>
    <mergeCell ref="T74:T79"/>
    <mergeCell ref="S151:T151"/>
    <mergeCell ref="T172:T173"/>
    <mergeCell ref="S168:T168"/>
    <mergeCell ref="S171:T171"/>
    <mergeCell ref="S124:T124"/>
    <mergeCell ref="S126:T126"/>
    <mergeCell ref="S129:T129"/>
    <mergeCell ref="S130:T130"/>
    <mergeCell ref="S132:T132"/>
    <mergeCell ref="S134:T134"/>
    <mergeCell ref="S88:S89"/>
    <mergeCell ref="T88:T89"/>
    <mergeCell ref="S137:S138"/>
    <mergeCell ref="T137:T138"/>
    <mergeCell ref="T175:T178"/>
    <mergeCell ref="T152:T160"/>
    <mergeCell ref="S100:T100"/>
    <mergeCell ref="S101:T101"/>
    <mergeCell ref="S108:T108"/>
    <mergeCell ref="S121:T121"/>
    <mergeCell ref="S180:S181"/>
    <mergeCell ref="T180:T181"/>
    <mergeCell ref="S221:T221"/>
    <mergeCell ref="S174:T174"/>
    <mergeCell ref="S179:T179"/>
    <mergeCell ref="S188:T188"/>
    <mergeCell ref="S33:T33"/>
    <mergeCell ref="S34:T34"/>
    <mergeCell ref="S40:T40"/>
    <mergeCell ref="S47:T47"/>
    <mergeCell ref="S11:T11"/>
    <mergeCell ref="S12:T12"/>
    <mergeCell ref="S15:T15"/>
    <mergeCell ref="S20:T20"/>
    <mergeCell ref="S22:T22"/>
    <mergeCell ref="S25:T25"/>
    <mergeCell ref="T23:T24"/>
    <mergeCell ref="T16:T19"/>
    <mergeCell ref="S27:T27"/>
    <mergeCell ref="S28:T32"/>
    <mergeCell ref="S41:S42"/>
    <mergeCell ref="T41:T42"/>
    <mergeCell ref="A388:B388"/>
    <mergeCell ref="C388:F388"/>
    <mergeCell ref="G388:J388"/>
    <mergeCell ref="K388:N388"/>
    <mergeCell ref="C432:D432"/>
    <mergeCell ref="C433:D433"/>
    <mergeCell ref="C434:D434"/>
    <mergeCell ref="C435:D435"/>
    <mergeCell ref="C436:D436"/>
    <mergeCell ref="B428:B430"/>
    <mergeCell ref="C428:F428"/>
    <mergeCell ref="G428:J428"/>
    <mergeCell ref="K428:N428"/>
    <mergeCell ref="A414:A415"/>
    <mergeCell ref="A416:B416"/>
    <mergeCell ref="A417:B418"/>
    <mergeCell ref="C417:R417"/>
    <mergeCell ref="C418:R418"/>
    <mergeCell ref="A419:B419"/>
    <mergeCell ref="C419:F419"/>
    <mergeCell ref="G419:J419"/>
    <mergeCell ref="K419:N419"/>
    <mergeCell ref="O419:R419"/>
    <mergeCell ref="K393:N393"/>
    <mergeCell ref="A88:B88"/>
    <mergeCell ref="C88:F88"/>
    <mergeCell ref="G88:J88"/>
    <mergeCell ref="K88:N88"/>
    <mergeCell ref="O88:R88"/>
    <mergeCell ref="A41:B41"/>
    <mergeCell ref="C41:F41"/>
    <mergeCell ref="G41:J41"/>
    <mergeCell ref="K41:N41"/>
    <mergeCell ref="A87:B87"/>
    <mergeCell ref="O73:R73"/>
    <mergeCell ref="A74:A79"/>
    <mergeCell ref="A80:B80"/>
    <mergeCell ref="C80:F80"/>
    <mergeCell ref="G80:J80"/>
    <mergeCell ref="K80:N80"/>
    <mergeCell ref="O80:R80"/>
    <mergeCell ref="A81:A86"/>
    <mergeCell ref="A70:B70"/>
    <mergeCell ref="C70:F70"/>
    <mergeCell ref="G70:J70"/>
    <mergeCell ref="K70:N70"/>
    <mergeCell ref="O70:R70"/>
    <mergeCell ref="A73:B73"/>
    <mergeCell ref="O428:R428"/>
    <mergeCell ref="C430:R430"/>
    <mergeCell ref="A423:B423"/>
    <mergeCell ref="B425:B427"/>
    <mergeCell ref="C425:F425"/>
    <mergeCell ref="G425:J425"/>
    <mergeCell ref="K425:N425"/>
    <mergeCell ref="O425:R425"/>
    <mergeCell ref="A420:B420"/>
    <mergeCell ref="C420:F420"/>
    <mergeCell ref="G420:J420"/>
    <mergeCell ref="K420:N420"/>
    <mergeCell ref="O420:R420"/>
    <mergeCell ref="A421:A422"/>
    <mergeCell ref="C429:F429"/>
    <mergeCell ref="G429:J429"/>
    <mergeCell ref="K429:N429"/>
    <mergeCell ref="O429:R429"/>
    <mergeCell ref="T421:T422"/>
    <mergeCell ref="A406:B407"/>
    <mergeCell ref="C406:R406"/>
    <mergeCell ref="C407:R407"/>
    <mergeCell ref="S405:T405"/>
    <mergeCell ref="S408:T408"/>
    <mergeCell ref="S409:T409"/>
    <mergeCell ref="S413:T413"/>
    <mergeCell ref="A413:B413"/>
    <mergeCell ref="C413:F413"/>
    <mergeCell ref="G413:J413"/>
    <mergeCell ref="K413:N413"/>
    <mergeCell ref="O413:R413"/>
    <mergeCell ref="A408:B408"/>
    <mergeCell ref="C408:F408"/>
    <mergeCell ref="G408:J408"/>
    <mergeCell ref="K408:N408"/>
    <mergeCell ref="O408:R408"/>
    <mergeCell ref="A409:B409"/>
    <mergeCell ref="C409:F409"/>
    <mergeCell ref="G409:J409"/>
    <mergeCell ref="K409:N409"/>
    <mergeCell ref="O409:R409"/>
    <mergeCell ref="S419:T419"/>
    <mergeCell ref="O393:R393"/>
    <mergeCell ref="A394:B394"/>
    <mergeCell ref="C394:F394"/>
    <mergeCell ref="G394:J394"/>
    <mergeCell ref="K394:N394"/>
    <mergeCell ref="O394:R394"/>
    <mergeCell ref="A398:A401"/>
    <mergeCell ref="T414:T415"/>
    <mergeCell ref="A402:B402"/>
    <mergeCell ref="C402:F402"/>
    <mergeCell ref="G402:J402"/>
    <mergeCell ref="K402:N402"/>
    <mergeCell ref="O402:R402"/>
    <mergeCell ref="S402:T402"/>
    <mergeCell ref="T410:T412"/>
    <mergeCell ref="A403:A404"/>
    <mergeCell ref="A405:B405"/>
    <mergeCell ref="A384:A386"/>
    <mergeCell ref="T403:T404"/>
    <mergeCell ref="A387:B387"/>
    <mergeCell ref="A390:B392"/>
    <mergeCell ref="C390:R390"/>
    <mergeCell ref="C391:R391"/>
    <mergeCell ref="C392:R392"/>
    <mergeCell ref="S387:T387"/>
    <mergeCell ref="S397:T397"/>
    <mergeCell ref="T395:T396"/>
    <mergeCell ref="T398:T401"/>
    <mergeCell ref="T384:T386"/>
    <mergeCell ref="A395:A396"/>
    <mergeCell ref="A397:B397"/>
    <mergeCell ref="C397:F397"/>
    <mergeCell ref="G397:J397"/>
    <mergeCell ref="K397:N397"/>
    <mergeCell ref="O397:R397"/>
    <mergeCell ref="O388:R388"/>
    <mergeCell ref="S393:T393"/>
    <mergeCell ref="S394:T394"/>
    <mergeCell ref="A393:B393"/>
    <mergeCell ref="C393:F393"/>
    <mergeCell ref="G393:J393"/>
    <mergeCell ref="A383:B383"/>
    <mergeCell ref="C383:F383"/>
    <mergeCell ref="G383:J383"/>
    <mergeCell ref="K383:N383"/>
    <mergeCell ref="O383:R383"/>
    <mergeCell ref="S383:T383"/>
    <mergeCell ref="A377:B377"/>
    <mergeCell ref="C377:F377"/>
    <mergeCell ref="G377:J377"/>
    <mergeCell ref="K377:N377"/>
    <mergeCell ref="O377:R377"/>
    <mergeCell ref="A378:A382"/>
    <mergeCell ref="T381:T382"/>
    <mergeCell ref="S376:T376"/>
    <mergeCell ref="S377:T377"/>
    <mergeCell ref="T378:T380"/>
    <mergeCell ref="A364:B364"/>
    <mergeCell ref="C364:F364"/>
    <mergeCell ref="G364:J364"/>
    <mergeCell ref="K364:N364"/>
    <mergeCell ref="O364:R364"/>
    <mergeCell ref="A365:A366"/>
    <mergeCell ref="A367:B367"/>
    <mergeCell ref="C367:F367"/>
    <mergeCell ref="A374:B375"/>
    <mergeCell ref="C374:R374"/>
    <mergeCell ref="C375:R375"/>
    <mergeCell ref="A376:B376"/>
    <mergeCell ref="C376:F376"/>
    <mergeCell ref="G376:J376"/>
    <mergeCell ref="K376:N376"/>
    <mergeCell ref="O376:R376"/>
    <mergeCell ref="G367:J367"/>
    <mergeCell ref="K367:N367"/>
    <mergeCell ref="O367:R367"/>
    <mergeCell ref="A368:A372"/>
    <mergeCell ref="A373:B373"/>
    <mergeCell ref="A361:B361"/>
    <mergeCell ref="C361:F361"/>
    <mergeCell ref="G361:J361"/>
    <mergeCell ref="K361:N361"/>
    <mergeCell ref="O361:R361"/>
    <mergeCell ref="A362:A363"/>
    <mergeCell ref="A354:B354"/>
    <mergeCell ref="C354:F354"/>
    <mergeCell ref="G354:J354"/>
    <mergeCell ref="K354:N354"/>
    <mergeCell ref="O354:R354"/>
    <mergeCell ref="A355:A360"/>
    <mergeCell ref="G348:J348"/>
    <mergeCell ref="K348:N348"/>
    <mergeCell ref="O348:R348"/>
    <mergeCell ref="A349:A353"/>
    <mergeCell ref="A345:B346"/>
    <mergeCell ref="C345:R345"/>
    <mergeCell ref="C346:R346"/>
    <mergeCell ref="A347:B347"/>
    <mergeCell ref="C347:F347"/>
    <mergeCell ref="G347:J347"/>
    <mergeCell ref="K347:N347"/>
    <mergeCell ref="O347:R347"/>
    <mergeCell ref="T349:T353"/>
    <mergeCell ref="A333:B333"/>
    <mergeCell ref="A334:B335"/>
    <mergeCell ref="C334:R334"/>
    <mergeCell ref="C335:R335"/>
    <mergeCell ref="A336:B336"/>
    <mergeCell ref="C336:F336"/>
    <mergeCell ref="G336:J336"/>
    <mergeCell ref="K336:N336"/>
    <mergeCell ref="O336:R336"/>
    <mergeCell ref="A342:B342"/>
    <mergeCell ref="C342:F342"/>
    <mergeCell ref="G342:J342"/>
    <mergeCell ref="K342:N342"/>
    <mergeCell ref="O342:R342"/>
    <mergeCell ref="A344:R344"/>
    <mergeCell ref="A337:B337"/>
    <mergeCell ref="C337:F337"/>
    <mergeCell ref="G337:J337"/>
    <mergeCell ref="K337:N337"/>
    <mergeCell ref="O337:R337"/>
    <mergeCell ref="A341:B341"/>
    <mergeCell ref="A348:B348"/>
    <mergeCell ref="C348:F348"/>
    <mergeCell ref="A331:B331"/>
    <mergeCell ref="C331:F331"/>
    <mergeCell ref="G331:J331"/>
    <mergeCell ref="K331:N331"/>
    <mergeCell ref="O331:R331"/>
    <mergeCell ref="A322:B322"/>
    <mergeCell ref="C322:F322"/>
    <mergeCell ref="G322:J322"/>
    <mergeCell ref="K322:N322"/>
    <mergeCell ref="O322:R322"/>
    <mergeCell ref="A323:B323"/>
    <mergeCell ref="C323:F323"/>
    <mergeCell ref="G323:J323"/>
    <mergeCell ref="K323:N323"/>
    <mergeCell ref="O323:R323"/>
    <mergeCell ref="T324:T330"/>
    <mergeCell ref="A311:B311"/>
    <mergeCell ref="C311:F311"/>
    <mergeCell ref="G311:J311"/>
    <mergeCell ref="K311:N311"/>
    <mergeCell ref="O311:R311"/>
    <mergeCell ref="A312:A314"/>
    <mergeCell ref="A315:B315"/>
    <mergeCell ref="A316:R316"/>
    <mergeCell ref="A324:A330"/>
    <mergeCell ref="T312:T314"/>
    <mergeCell ref="S323:T323"/>
    <mergeCell ref="S315:T315"/>
    <mergeCell ref="S322:T322"/>
    <mergeCell ref="S293:T293"/>
    <mergeCell ref="S297:T297"/>
    <mergeCell ref="T294:T296"/>
    <mergeCell ref="G303:J303"/>
    <mergeCell ref="K303:N303"/>
    <mergeCell ref="O303:R303"/>
    <mergeCell ref="A317:B321"/>
    <mergeCell ref="C317:R317"/>
    <mergeCell ref="C318:R318"/>
    <mergeCell ref="C319:R319"/>
    <mergeCell ref="C320:R320"/>
    <mergeCell ref="C321:R321"/>
    <mergeCell ref="A304:B304"/>
    <mergeCell ref="C304:F304"/>
    <mergeCell ref="G304:J304"/>
    <mergeCell ref="K304:N304"/>
    <mergeCell ref="O304:R304"/>
    <mergeCell ref="A305:A310"/>
    <mergeCell ref="T305:T310"/>
    <mergeCell ref="S298:S299"/>
    <mergeCell ref="T298:T299"/>
    <mergeCell ref="A300:B302"/>
    <mergeCell ref="C300:R300"/>
    <mergeCell ref="C301:R301"/>
    <mergeCell ref="C302:R302"/>
    <mergeCell ref="A303:B303"/>
    <mergeCell ref="C303:F303"/>
    <mergeCell ref="G283:J283"/>
    <mergeCell ref="K283:N283"/>
    <mergeCell ref="A297:B297"/>
    <mergeCell ref="A298:B298"/>
    <mergeCell ref="C298:F298"/>
    <mergeCell ref="G298:J298"/>
    <mergeCell ref="K298:N298"/>
    <mergeCell ref="O298:R298"/>
    <mergeCell ref="A290:A292"/>
    <mergeCell ref="A293:B293"/>
    <mergeCell ref="C293:F293"/>
    <mergeCell ref="G293:J293"/>
    <mergeCell ref="K293:N293"/>
    <mergeCell ref="O293:R293"/>
    <mergeCell ref="A294:A296"/>
    <mergeCell ref="A279:R279"/>
    <mergeCell ref="A280:B281"/>
    <mergeCell ref="C280:R280"/>
    <mergeCell ref="C281:R281"/>
    <mergeCell ref="S278:T278"/>
    <mergeCell ref="S282:T282"/>
    <mergeCell ref="S283:T283"/>
    <mergeCell ref="S289:T289"/>
    <mergeCell ref="T284:T288"/>
    <mergeCell ref="O283:R283"/>
    <mergeCell ref="A284:A288"/>
    <mergeCell ref="A289:B289"/>
    <mergeCell ref="C289:F289"/>
    <mergeCell ref="G289:J289"/>
    <mergeCell ref="K289:N289"/>
    <mergeCell ref="O289:R289"/>
    <mergeCell ref="A282:B282"/>
    <mergeCell ref="C282:F282"/>
    <mergeCell ref="G282:J282"/>
    <mergeCell ref="K282:N282"/>
    <mergeCell ref="O282:R282"/>
    <mergeCell ref="A283:B283"/>
    <mergeCell ref="C283:F283"/>
    <mergeCell ref="O268:R268"/>
    <mergeCell ref="T276:T277"/>
    <mergeCell ref="A278:B278"/>
    <mergeCell ref="G262:J262"/>
    <mergeCell ref="K262:N262"/>
    <mergeCell ref="O262:R262"/>
    <mergeCell ref="A275:B275"/>
    <mergeCell ref="C275:F275"/>
    <mergeCell ref="G275:J275"/>
    <mergeCell ref="K275:N275"/>
    <mergeCell ref="O275:R275"/>
    <mergeCell ref="A276:A277"/>
    <mergeCell ref="A263:A265"/>
    <mergeCell ref="T263:T264"/>
    <mergeCell ref="A256:B256"/>
    <mergeCell ref="T269:T274"/>
    <mergeCell ref="A257:B260"/>
    <mergeCell ref="C257:R257"/>
    <mergeCell ref="C258:R258"/>
    <mergeCell ref="C259:R259"/>
    <mergeCell ref="C260:R260"/>
    <mergeCell ref="T247:T255"/>
    <mergeCell ref="A266:B266"/>
    <mergeCell ref="C266:F266"/>
    <mergeCell ref="G266:J266"/>
    <mergeCell ref="K266:N266"/>
    <mergeCell ref="O266:R266"/>
    <mergeCell ref="A261:B261"/>
    <mergeCell ref="C261:F261"/>
    <mergeCell ref="G261:J261"/>
    <mergeCell ref="K261:N261"/>
    <mergeCell ref="O261:R261"/>
    <mergeCell ref="A262:B262"/>
    <mergeCell ref="C262:F262"/>
    <mergeCell ref="A268:B268"/>
    <mergeCell ref="C268:F268"/>
    <mergeCell ref="G268:J268"/>
    <mergeCell ref="K268:N268"/>
    <mergeCell ref="A245:B245"/>
    <mergeCell ref="C245:F245"/>
    <mergeCell ref="G245:J245"/>
    <mergeCell ref="K245:N245"/>
    <mergeCell ref="O245:R245"/>
    <mergeCell ref="A246:B246"/>
    <mergeCell ref="C246:F246"/>
    <mergeCell ref="G246:J246"/>
    <mergeCell ref="K246:N246"/>
    <mergeCell ref="O246:R246"/>
    <mergeCell ref="C240:F240"/>
    <mergeCell ref="G240:J240"/>
    <mergeCell ref="K240:N240"/>
    <mergeCell ref="O240:R240"/>
    <mergeCell ref="A242:B244"/>
    <mergeCell ref="C242:R242"/>
    <mergeCell ref="C243:R243"/>
    <mergeCell ref="C244:R244"/>
    <mergeCell ref="A236:B236"/>
    <mergeCell ref="C236:F236"/>
    <mergeCell ref="G236:J236"/>
    <mergeCell ref="K236:N236"/>
    <mergeCell ref="O236:R236"/>
    <mergeCell ref="A237:A238"/>
    <mergeCell ref="A239:B239"/>
    <mergeCell ref="A240:B240"/>
    <mergeCell ref="A233:A234"/>
    <mergeCell ref="O223:R223"/>
    <mergeCell ref="A224:A226"/>
    <mergeCell ref="A232:B232"/>
    <mergeCell ref="C232:F232"/>
    <mergeCell ref="G232:J232"/>
    <mergeCell ref="K232:N232"/>
    <mergeCell ref="O232:R232"/>
    <mergeCell ref="A221:B221"/>
    <mergeCell ref="C221:F221"/>
    <mergeCell ref="G221:J221"/>
    <mergeCell ref="K221:N221"/>
    <mergeCell ref="O221:R221"/>
    <mergeCell ref="A223:B223"/>
    <mergeCell ref="C223:F223"/>
    <mergeCell ref="G223:J223"/>
    <mergeCell ref="K223:N223"/>
    <mergeCell ref="A227:A230"/>
    <mergeCell ref="C219:R219"/>
    <mergeCell ref="A220:B220"/>
    <mergeCell ref="C220:F220"/>
    <mergeCell ref="G220:J220"/>
    <mergeCell ref="K220:N220"/>
    <mergeCell ref="O220:R220"/>
    <mergeCell ref="A209:A212"/>
    <mergeCell ref="A213:B213"/>
    <mergeCell ref="A214:R214"/>
    <mergeCell ref="A215:B219"/>
    <mergeCell ref="C215:R215"/>
    <mergeCell ref="C216:R216"/>
    <mergeCell ref="C217:R217"/>
    <mergeCell ref="C218:R218"/>
    <mergeCell ref="A198:A202"/>
    <mergeCell ref="T209:T212"/>
    <mergeCell ref="A203:B203"/>
    <mergeCell ref="A204:B206"/>
    <mergeCell ref="C204:R204"/>
    <mergeCell ref="C205:R205"/>
    <mergeCell ref="C206:R206"/>
    <mergeCell ref="A192:A196"/>
    <mergeCell ref="A197:B197"/>
    <mergeCell ref="C197:F197"/>
    <mergeCell ref="G197:J197"/>
    <mergeCell ref="K197:N197"/>
    <mergeCell ref="O197:R197"/>
    <mergeCell ref="A207:B207"/>
    <mergeCell ref="C207:F207"/>
    <mergeCell ref="G207:J207"/>
    <mergeCell ref="K207:N207"/>
    <mergeCell ref="O207:R207"/>
    <mergeCell ref="A208:B208"/>
    <mergeCell ref="C208:F208"/>
    <mergeCell ref="G208:J208"/>
    <mergeCell ref="K208:N208"/>
    <mergeCell ref="O208:R208"/>
    <mergeCell ref="A182:B187"/>
    <mergeCell ref="C182:R182"/>
    <mergeCell ref="T192:T196"/>
    <mergeCell ref="C183:R183"/>
    <mergeCell ref="C184:R184"/>
    <mergeCell ref="C185:R185"/>
    <mergeCell ref="C186:R186"/>
    <mergeCell ref="C187:R187"/>
    <mergeCell ref="S191:T191"/>
    <mergeCell ref="O189:R189"/>
    <mergeCell ref="A191:B191"/>
    <mergeCell ref="C191:F191"/>
    <mergeCell ref="G191:J191"/>
    <mergeCell ref="K191:N191"/>
    <mergeCell ref="O191:R191"/>
    <mergeCell ref="A188:B188"/>
    <mergeCell ref="C188:F188"/>
    <mergeCell ref="G188:J188"/>
    <mergeCell ref="K188:N188"/>
    <mergeCell ref="O188:R188"/>
    <mergeCell ref="A189:B189"/>
    <mergeCell ref="C189:F189"/>
    <mergeCell ref="G189:J189"/>
    <mergeCell ref="K189:N189"/>
    <mergeCell ref="A179:B179"/>
    <mergeCell ref="A180:B180"/>
    <mergeCell ref="C180:F180"/>
    <mergeCell ref="G180:J180"/>
    <mergeCell ref="K180:N180"/>
    <mergeCell ref="O180:R180"/>
    <mergeCell ref="A174:B174"/>
    <mergeCell ref="C174:F174"/>
    <mergeCell ref="G174:J174"/>
    <mergeCell ref="K174:N174"/>
    <mergeCell ref="O174:R174"/>
    <mergeCell ref="A175:A178"/>
    <mergeCell ref="A172:A173"/>
    <mergeCell ref="O165:R165"/>
    <mergeCell ref="A166:A167"/>
    <mergeCell ref="A168:B168"/>
    <mergeCell ref="C168:F168"/>
    <mergeCell ref="G168:J168"/>
    <mergeCell ref="K168:N168"/>
    <mergeCell ref="O168:R168"/>
    <mergeCell ref="A169:A170"/>
    <mergeCell ref="A165:B165"/>
    <mergeCell ref="C165:F165"/>
    <mergeCell ref="G165:J165"/>
    <mergeCell ref="K165:N165"/>
    <mergeCell ref="A171:B171"/>
    <mergeCell ref="C171:F171"/>
    <mergeCell ref="G171:J171"/>
    <mergeCell ref="K171:N171"/>
    <mergeCell ref="O171:R171"/>
    <mergeCell ref="A152:A159"/>
    <mergeCell ref="T166:T167"/>
    <mergeCell ref="A161:B161"/>
    <mergeCell ref="T169:T170"/>
    <mergeCell ref="A162:B163"/>
    <mergeCell ref="C162:R162"/>
    <mergeCell ref="C163:R163"/>
    <mergeCell ref="S161:T161"/>
    <mergeCell ref="S164:T164"/>
    <mergeCell ref="S165:T165"/>
    <mergeCell ref="A164:B164"/>
    <mergeCell ref="C164:F164"/>
    <mergeCell ref="G164:J164"/>
    <mergeCell ref="K164:N164"/>
    <mergeCell ref="O164:R164"/>
    <mergeCell ref="O149:R149"/>
    <mergeCell ref="A151:B151"/>
    <mergeCell ref="C151:F151"/>
    <mergeCell ref="G151:J151"/>
    <mergeCell ref="K151:N151"/>
    <mergeCell ref="O151:R151"/>
    <mergeCell ref="A146:B146"/>
    <mergeCell ref="C146:F146"/>
    <mergeCell ref="G146:J146"/>
    <mergeCell ref="K146:N146"/>
    <mergeCell ref="O146:R146"/>
    <mergeCell ref="A149:B149"/>
    <mergeCell ref="C149:F149"/>
    <mergeCell ref="G149:J149"/>
    <mergeCell ref="K149:N149"/>
    <mergeCell ref="A147:A148"/>
    <mergeCell ref="A143:B143"/>
    <mergeCell ref="C143:F143"/>
    <mergeCell ref="G143:J143"/>
    <mergeCell ref="K143:N143"/>
    <mergeCell ref="O143:R143"/>
    <mergeCell ref="A144:A145"/>
    <mergeCell ref="A139:B141"/>
    <mergeCell ref="C139:R139"/>
    <mergeCell ref="T147:T148"/>
    <mergeCell ref="C140:R140"/>
    <mergeCell ref="A142:B142"/>
    <mergeCell ref="C142:F142"/>
    <mergeCell ref="G142:J142"/>
    <mergeCell ref="K142:N142"/>
    <mergeCell ref="O142:R142"/>
    <mergeCell ref="T144:T145"/>
    <mergeCell ref="C141:T141"/>
    <mergeCell ref="A137:B137"/>
    <mergeCell ref="C137:F137"/>
    <mergeCell ref="G137:J137"/>
    <mergeCell ref="K137:N137"/>
    <mergeCell ref="O137:R137"/>
    <mergeCell ref="A134:B134"/>
    <mergeCell ref="C134:F134"/>
    <mergeCell ref="G134:J134"/>
    <mergeCell ref="K134:N134"/>
    <mergeCell ref="O134:R134"/>
    <mergeCell ref="A136:B136"/>
    <mergeCell ref="A130:B130"/>
    <mergeCell ref="C130:F130"/>
    <mergeCell ref="G130:J130"/>
    <mergeCell ref="K130:N130"/>
    <mergeCell ref="O130:R130"/>
    <mergeCell ref="A132:B132"/>
    <mergeCell ref="C132:F132"/>
    <mergeCell ref="G132:J132"/>
    <mergeCell ref="K132:N132"/>
    <mergeCell ref="O132:R132"/>
    <mergeCell ref="A127:B128"/>
    <mergeCell ref="C127:R127"/>
    <mergeCell ref="C128:R128"/>
    <mergeCell ref="A129:B129"/>
    <mergeCell ref="C129:F129"/>
    <mergeCell ref="G129:J129"/>
    <mergeCell ref="K129:N129"/>
    <mergeCell ref="O129:R129"/>
    <mergeCell ref="A124:B124"/>
    <mergeCell ref="C124:F124"/>
    <mergeCell ref="G124:J124"/>
    <mergeCell ref="K124:N124"/>
    <mergeCell ref="O124:R124"/>
    <mergeCell ref="A126:B126"/>
    <mergeCell ref="A115:A118"/>
    <mergeCell ref="A119:A120"/>
    <mergeCell ref="A121:B121"/>
    <mergeCell ref="C121:F121"/>
    <mergeCell ref="G121:J121"/>
    <mergeCell ref="K121:N121"/>
    <mergeCell ref="O121:R121"/>
    <mergeCell ref="A108:B108"/>
    <mergeCell ref="C108:F108"/>
    <mergeCell ref="G108:J108"/>
    <mergeCell ref="K108:N108"/>
    <mergeCell ref="O108:R108"/>
    <mergeCell ref="A109:A113"/>
    <mergeCell ref="C101:F101"/>
    <mergeCell ref="G101:J101"/>
    <mergeCell ref="K101:N101"/>
    <mergeCell ref="O101:R101"/>
    <mergeCell ref="A102:A107"/>
    <mergeCell ref="T102:T107"/>
    <mergeCell ref="C97:R97"/>
    <mergeCell ref="C98:R98"/>
    <mergeCell ref="C99:R99"/>
    <mergeCell ref="A100:B100"/>
    <mergeCell ref="C100:F100"/>
    <mergeCell ref="G100:J100"/>
    <mergeCell ref="K100:N100"/>
    <mergeCell ref="O100:R100"/>
    <mergeCell ref="A101:B101"/>
    <mergeCell ref="A90:B99"/>
    <mergeCell ref="C90:R90"/>
    <mergeCell ref="C91:R91"/>
    <mergeCell ref="C92:R92"/>
    <mergeCell ref="C93:R93"/>
    <mergeCell ref="C94:R94"/>
    <mergeCell ref="C95:R95"/>
    <mergeCell ref="C96:R96"/>
    <mergeCell ref="C73:F73"/>
    <mergeCell ref="G73:J73"/>
    <mergeCell ref="K73:N73"/>
    <mergeCell ref="A69:B69"/>
    <mergeCell ref="C69:F69"/>
    <mergeCell ref="G69:J69"/>
    <mergeCell ref="K69:N69"/>
    <mergeCell ref="O69:R69"/>
    <mergeCell ref="A71:A72"/>
    <mergeCell ref="A51:B51"/>
    <mergeCell ref="C51:F51"/>
    <mergeCell ref="G51:J51"/>
    <mergeCell ref="K51:N51"/>
    <mergeCell ref="O51:R51"/>
    <mergeCell ref="A52:A60"/>
    <mergeCell ref="T52:T60"/>
    <mergeCell ref="S51:T51"/>
    <mergeCell ref="C68:R68"/>
    <mergeCell ref="A61:B61"/>
    <mergeCell ref="A62:B68"/>
    <mergeCell ref="C62:R62"/>
    <mergeCell ref="C63:R63"/>
    <mergeCell ref="C64:R64"/>
    <mergeCell ref="C65:R65"/>
    <mergeCell ref="C66:R66"/>
    <mergeCell ref="C67:R67"/>
    <mergeCell ref="S61:T61"/>
    <mergeCell ref="S62:T68"/>
    <mergeCell ref="T49:T50"/>
    <mergeCell ref="C46:R46"/>
    <mergeCell ref="S48:T48"/>
    <mergeCell ref="A35:A39"/>
    <mergeCell ref="T35:T39"/>
    <mergeCell ref="A40:B40"/>
    <mergeCell ref="A47:B47"/>
    <mergeCell ref="A48:B48"/>
    <mergeCell ref="C48:F48"/>
    <mergeCell ref="G48:J48"/>
    <mergeCell ref="K48:N48"/>
    <mergeCell ref="O48:R48"/>
    <mergeCell ref="A49:A50"/>
    <mergeCell ref="O41:R41"/>
    <mergeCell ref="C47:F47"/>
    <mergeCell ref="K47:N47"/>
    <mergeCell ref="O47:R47"/>
    <mergeCell ref="K33:N33"/>
    <mergeCell ref="O33:R33"/>
    <mergeCell ref="A34:B34"/>
    <mergeCell ref="C34:F34"/>
    <mergeCell ref="G34:J34"/>
    <mergeCell ref="K34:N34"/>
    <mergeCell ref="O34:R34"/>
    <mergeCell ref="A43:B46"/>
    <mergeCell ref="C43:R43"/>
    <mergeCell ref="C44:R44"/>
    <mergeCell ref="C45:R45"/>
    <mergeCell ref="G33:J33"/>
    <mergeCell ref="K20:N20"/>
    <mergeCell ref="O20:R20"/>
    <mergeCell ref="A27:B27"/>
    <mergeCell ref="A28:B32"/>
    <mergeCell ref="C28:R28"/>
    <mergeCell ref="C29:R29"/>
    <mergeCell ref="C30:R30"/>
    <mergeCell ref="C31:R31"/>
    <mergeCell ref="C32:R32"/>
    <mergeCell ref="A25:B25"/>
    <mergeCell ref="C25:F25"/>
    <mergeCell ref="G25:J25"/>
    <mergeCell ref="K25:N25"/>
    <mergeCell ref="O25:R25"/>
    <mergeCell ref="A20:B20"/>
    <mergeCell ref="C20:F20"/>
    <mergeCell ref="G20:J20"/>
    <mergeCell ref="T1:T10"/>
    <mergeCell ref="A2:B2"/>
    <mergeCell ref="C2:F2"/>
    <mergeCell ref="G2:J2"/>
    <mergeCell ref="K2:N2"/>
    <mergeCell ref="O2:R2"/>
    <mergeCell ref="A4:R4"/>
    <mergeCell ref="A5:B10"/>
    <mergeCell ref="A13:A14"/>
    <mergeCell ref="T13:T14"/>
    <mergeCell ref="A11:B11"/>
    <mergeCell ref="C11:F11"/>
    <mergeCell ref="G11:J11"/>
    <mergeCell ref="K11:N11"/>
    <mergeCell ref="O11:R11"/>
    <mergeCell ref="A12:B12"/>
    <mergeCell ref="C12:F12"/>
    <mergeCell ref="G12:J12"/>
    <mergeCell ref="K12:N12"/>
    <mergeCell ref="O12:R12"/>
    <mergeCell ref="T338:T340"/>
    <mergeCell ref="A338:A340"/>
    <mergeCell ref="C5:R5"/>
    <mergeCell ref="C6:R6"/>
    <mergeCell ref="C7:R7"/>
    <mergeCell ref="C8:R8"/>
    <mergeCell ref="C9:R9"/>
    <mergeCell ref="C10:R10"/>
    <mergeCell ref="A1:R1"/>
    <mergeCell ref="S1:S10"/>
    <mergeCell ref="A15:B15"/>
    <mergeCell ref="C15:F15"/>
    <mergeCell ref="G15:J15"/>
    <mergeCell ref="K15:N15"/>
    <mergeCell ref="O15:R15"/>
    <mergeCell ref="A22:B22"/>
    <mergeCell ref="C22:F22"/>
    <mergeCell ref="G22:J22"/>
    <mergeCell ref="K22:N22"/>
    <mergeCell ref="O22:R22"/>
    <mergeCell ref="A23:A24"/>
    <mergeCell ref="A16:A19"/>
    <mergeCell ref="A33:B33"/>
    <mergeCell ref="C33:F33"/>
  </mergeCells>
  <printOptions horizontalCentered="1"/>
  <pageMargins left="0.31496062992125984" right="0.31496062992125984" top="0.7480314960629921" bottom="0.35433070866141736" header="0.31496062992125984" footer="0.31496062992125984"/>
  <pageSetup horizontalDpi="600" verticalDpi="600" orientation="landscape" paperSize="9" scale="43" r:id="rId4"/>
  <headerFooter>
    <oddHeader>&amp;L&amp;G
ALCALDÍA DE NOBSA&amp;C&amp;"Arial,Negrita"&amp;14PLAN PLURIANUAL DE INVERSIONES 2012-2015&amp;R&amp;"Arial,Negrita"&amp;14PLAN DE DESARROLLO MUNICIPAL 2012-2015 NOBSANOS POR SIEMPRE</oddHeader>
    <oddFooter>&amp;C&amp;P</oddFooter>
  </headerFooter>
  <rowBreaks count="5" manualBreakCount="5">
    <brk id="40" max="255" man="1"/>
    <brk id="87" max="255" man="1"/>
    <brk id="179" max="255" man="1"/>
    <brk id="341" max="255" man="1"/>
    <brk id="387" max="255" man="1"/>
  </rowBreaks>
  <ignoredErrors>
    <ignoredError sqref="G25 K25 K20 G20 G124 K124 C149 G149 K149 G331 G130 K130 K134 G134 C266 G266 C124 C130 C132 C134 K221 C25 C20" formulaRange="1"/>
    <ignoredError sqref="S420 S409 S413 S394 S397 S402 S377 S383 S348 S354 S361 S364 S367 S331 S323 S304 S311 S293 S289 S283 S266 S268 S275 S246 S221 S223 S232 S236 S208 S191 S189 S165 S168 S171 S174 S151 S149 S146 S143 S133:S134 S131:S132 S130 S101 S108 S121 S124" formula="1"/>
  </ignoredErrors>
  <legacyDrawing r:id="rId2"/>
  <legacyDrawingHF r:id="rId3"/>
</worksheet>
</file>

<file path=xl/worksheets/sheet2.xml><?xml version="1.0" encoding="utf-8"?>
<worksheet xmlns="http://schemas.openxmlformats.org/spreadsheetml/2006/main" xmlns:r="http://schemas.openxmlformats.org/officeDocument/2006/relationships">
  <sheetPr>
    <tabColor rgb="FF11FF11"/>
  </sheetPr>
  <dimension ref="A1:K50"/>
  <sheetViews>
    <sheetView view="pageBreakPreview" zoomScaleSheetLayoutView="100" zoomScalePageLayoutView="0" workbookViewId="0" topLeftCell="B1">
      <selection activeCell="H10" sqref="H10:K10"/>
    </sheetView>
  </sheetViews>
  <sheetFormatPr defaultColWidth="11.421875" defaultRowHeight="15"/>
  <cols>
    <col min="1" max="1" width="29.8515625" style="1" customWidth="1"/>
    <col min="2" max="2" width="14.00390625" style="1" customWidth="1"/>
    <col min="3" max="3" width="13.7109375" style="1" bestFit="1" customWidth="1"/>
    <col min="4" max="4" width="13.7109375" style="1" customWidth="1"/>
    <col min="5" max="5" width="13.7109375" style="1" bestFit="1" customWidth="1"/>
    <col min="6" max="6" width="4.140625" style="1" customWidth="1"/>
    <col min="7" max="7" width="22.57421875" style="1" customWidth="1"/>
    <col min="8" max="11" width="13.7109375" style="1" customWidth="1"/>
    <col min="12" max="16384" width="11.421875" style="1" customWidth="1"/>
  </cols>
  <sheetData>
    <row r="1" spans="1:11" ht="15" customHeight="1">
      <c r="A1" s="851" t="s">
        <v>262</v>
      </c>
      <c r="B1" s="154">
        <v>2012</v>
      </c>
      <c r="C1" s="154">
        <v>2013</v>
      </c>
      <c r="D1" s="154">
        <v>2014</v>
      </c>
      <c r="E1" s="154">
        <v>2015</v>
      </c>
      <c r="G1" s="216" t="s">
        <v>18</v>
      </c>
      <c r="H1" s="216">
        <v>2012</v>
      </c>
      <c r="I1" s="216">
        <v>2013</v>
      </c>
      <c r="J1" s="216">
        <v>2014</v>
      </c>
      <c r="K1" s="216">
        <v>2015</v>
      </c>
    </row>
    <row r="2" spans="1:11" ht="15" customHeight="1">
      <c r="A2" s="851"/>
      <c r="B2" s="852">
        <f>SUM(B3:E3)</f>
        <v>64341212363</v>
      </c>
      <c r="C2" s="853"/>
      <c r="D2" s="853"/>
      <c r="E2" s="853"/>
      <c r="G2" s="7" t="s">
        <v>263</v>
      </c>
      <c r="H2" s="21">
        <f>B15</f>
        <v>9819538094</v>
      </c>
      <c r="I2" s="21">
        <f>C15</f>
        <v>10194375426</v>
      </c>
      <c r="J2" s="21">
        <f>D15</f>
        <v>10551178569</v>
      </c>
      <c r="K2" s="21">
        <f>E15</f>
        <v>10920469820</v>
      </c>
    </row>
    <row r="3" spans="1:11" ht="12.75">
      <c r="A3" s="851"/>
      <c r="B3" s="217">
        <f>+B15+B26+B42+B46+B48+B34</f>
        <v>14846167307</v>
      </c>
      <c r="C3" s="323">
        <f>+C15+C26+C42+C46+C48+C34</f>
        <v>16623974854</v>
      </c>
      <c r="D3" s="323">
        <f>+D15+D26+D42+D46+D48+D34</f>
        <v>16609063982</v>
      </c>
      <c r="E3" s="217">
        <f>+E15+E26+E42+E46+E48+E34</f>
        <v>16262006220</v>
      </c>
      <c r="G3" s="7" t="s">
        <v>264</v>
      </c>
      <c r="H3" s="21">
        <f>B26</f>
        <v>313874175</v>
      </c>
      <c r="I3" s="21">
        <f>C26</f>
        <v>324859771</v>
      </c>
      <c r="J3" s="21">
        <f>D26</f>
        <v>336229892</v>
      </c>
      <c r="K3" s="21">
        <f>E26</f>
        <v>347997908</v>
      </c>
    </row>
    <row r="4" spans="7:11" ht="12.75">
      <c r="G4" s="7" t="s">
        <v>265</v>
      </c>
      <c r="H4" s="21">
        <f>B33</f>
        <v>105364040</v>
      </c>
      <c r="I4" s="21">
        <f>C33</f>
        <v>109051781</v>
      </c>
      <c r="J4" s="21">
        <f>D33</f>
        <v>112868593</v>
      </c>
      <c r="K4" s="21">
        <f>E33</f>
        <v>116818994</v>
      </c>
    </row>
    <row r="5" spans="7:11" ht="12.75">
      <c r="G5" s="7" t="s">
        <v>30</v>
      </c>
      <c r="H5" s="21">
        <f>B34-B33</f>
        <v>1404688050</v>
      </c>
      <c r="I5" s="21">
        <f>C34-C33</f>
        <v>1453852131</v>
      </c>
      <c r="J5" s="21">
        <f>D34-D33</f>
        <v>1504736956</v>
      </c>
      <c r="K5" s="21">
        <f>E34-E33</f>
        <v>1557402748</v>
      </c>
    </row>
    <row r="6" spans="1:11" ht="12.75">
      <c r="A6" s="18" t="s">
        <v>19</v>
      </c>
      <c r="B6" s="322">
        <v>2012</v>
      </c>
      <c r="C6" s="341">
        <v>2013</v>
      </c>
      <c r="D6" s="341">
        <v>2014</v>
      </c>
      <c r="E6" s="322">
        <v>2015</v>
      </c>
      <c r="G6" s="7" t="s">
        <v>32</v>
      </c>
      <c r="H6" s="21">
        <f>B46</f>
        <v>805032179</v>
      </c>
      <c r="I6" s="21">
        <f>C46</f>
        <v>2091400000</v>
      </c>
      <c r="J6" s="21">
        <f>D46</f>
        <v>1567848977</v>
      </c>
      <c r="K6" s="21">
        <f>E46</f>
        <v>694348721</v>
      </c>
    </row>
    <row r="7" spans="1:11" ht="12.75">
      <c r="A7" s="20" t="s">
        <v>253</v>
      </c>
      <c r="B7" s="21">
        <f>750251058-30000000</f>
        <v>720251058</v>
      </c>
      <c r="C7" s="21">
        <v>776509844</v>
      </c>
      <c r="D7" s="21">
        <v>803687688</v>
      </c>
      <c r="E7" s="21">
        <v>831816757</v>
      </c>
      <c r="G7" s="7" t="s">
        <v>268</v>
      </c>
      <c r="H7" s="21">
        <f>B42</f>
        <v>2327670769</v>
      </c>
      <c r="I7" s="21">
        <f>C42</f>
        <v>2377985745</v>
      </c>
      <c r="J7" s="21">
        <f>D42</f>
        <v>2461215245</v>
      </c>
      <c r="K7" s="21">
        <f>E42</f>
        <v>2547357778</v>
      </c>
    </row>
    <row r="8" spans="1:11" ht="12.75">
      <c r="A8" s="20" t="s">
        <v>23</v>
      </c>
      <c r="B8" s="21">
        <v>7512922568</v>
      </c>
      <c r="C8" s="21">
        <v>7775874858</v>
      </c>
      <c r="D8" s="21">
        <v>8048030479</v>
      </c>
      <c r="E8" s="21">
        <v>8329711546</v>
      </c>
      <c r="G8" s="7" t="s">
        <v>38</v>
      </c>
      <c r="H8" s="21">
        <f>B48</f>
        <v>70000000</v>
      </c>
      <c r="I8" s="21">
        <f>C48</f>
        <v>72450000</v>
      </c>
      <c r="J8" s="21">
        <f>D48</f>
        <v>74985750</v>
      </c>
      <c r="K8" s="21">
        <f>E48</f>
        <v>77610251</v>
      </c>
    </row>
    <row r="9" spans="1:11" ht="12.75">
      <c r="A9" s="20" t="s">
        <v>20</v>
      </c>
      <c r="B9" s="21">
        <v>970905100</v>
      </c>
      <c r="C9" s="21">
        <v>1004886778</v>
      </c>
      <c r="D9" s="21">
        <v>1040057815</v>
      </c>
      <c r="E9" s="21">
        <v>1076459840</v>
      </c>
      <c r="G9" s="192" t="s">
        <v>269</v>
      </c>
      <c r="H9" s="155">
        <f>SUM(H2:H8)</f>
        <v>14846167307</v>
      </c>
      <c r="I9" s="155">
        <f>SUM(I2:I8)</f>
        <v>16623974854</v>
      </c>
      <c r="J9" s="155">
        <f>SUM(J2:J8)</f>
        <v>16609063982</v>
      </c>
      <c r="K9" s="155">
        <f>SUM(K2:K8)</f>
        <v>16262006220</v>
      </c>
    </row>
    <row r="10" spans="1:11" ht="15.75">
      <c r="A10" s="20" t="s">
        <v>254</v>
      </c>
      <c r="B10" s="21">
        <v>25090703</v>
      </c>
      <c r="C10" s="21">
        <v>25968878</v>
      </c>
      <c r="D10" s="21">
        <v>26877789</v>
      </c>
      <c r="E10" s="21">
        <v>27818512</v>
      </c>
      <c r="H10" s="854">
        <f>SUM(H9:K9)</f>
        <v>64341212363</v>
      </c>
      <c r="I10" s="854"/>
      <c r="J10" s="854"/>
      <c r="K10" s="854"/>
    </row>
    <row r="11" spans="1:5" ht="12.75">
      <c r="A11" s="20" t="s">
        <v>26</v>
      </c>
      <c r="B11" s="21">
        <v>72754175</v>
      </c>
      <c r="C11" s="21">
        <v>75300570</v>
      </c>
      <c r="D11" s="21">
        <v>77936093</v>
      </c>
      <c r="E11" s="21">
        <v>80663855</v>
      </c>
    </row>
    <row r="12" spans="1:11" ht="12.75">
      <c r="A12" s="20" t="s">
        <v>21</v>
      </c>
      <c r="B12" s="21">
        <v>421950000</v>
      </c>
      <c r="C12" s="21">
        <v>436718250</v>
      </c>
      <c r="D12" s="21">
        <v>452003388</v>
      </c>
      <c r="E12" s="21">
        <v>467823508</v>
      </c>
      <c r="G12" s="216" t="s">
        <v>2</v>
      </c>
      <c r="H12" s="216">
        <v>2012</v>
      </c>
      <c r="I12" s="216">
        <v>2013</v>
      </c>
      <c r="J12" s="216">
        <v>2014</v>
      </c>
      <c r="K12" s="216">
        <v>2015</v>
      </c>
    </row>
    <row r="13" spans="1:11" ht="15" customHeight="1">
      <c r="A13" s="20" t="s">
        <v>255</v>
      </c>
      <c r="B13" s="21">
        <v>95564490</v>
      </c>
      <c r="C13" s="21">
        <v>98909248</v>
      </c>
      <c r="D13" s="21">
        <v>102371071</v>
      </c>
      <c r="E13" s="21">
        <v>105954058</v>
      </c>
      <c r="G13" s="25" t="s">
        <v>276</v>
      </c>
      <c r="H13" s="19">
        <f>+H14+H17+H18+H19+H20+H21</f>
        <v>1401028544</v>
      </c>
      <c r="I13" s="19">
        <f>+I14+I17+I18+I19+I20+I21</f>
        <v>1450064542</v>
      </c>
      <c r="J13" s="19">
        <f>+J14+J17+J18+J19+J20+J21</f>
        <v>1500816801</v>
      </c>
      <c r="K13" s="19">
        <f>+K14+K17+K18+K19+K20+K21</f>
        <v>1553345388</v>
      </c>
    </row>
    <row r="14" spans="1:11" ht="12.75">
      <c r="A14" s="20" t="s">
        <v>4</v>
      </c>
      <c r="B14" s="21">
        <v>100000</v>
      </c>
      <c r="C14" s="21">
        <f>103500+103500</f>
        <v>207000</v>
      </c>
      <c r="D14" s="21">
        <f>107123+107123</f>
        <v>214246</v>
      </c>
      <c r="E14" s="21">
        <f>110872+110872</f>
        <v>221744</v>
      </c>
      <c r="G14" s="26" t="s">
        <v>270</v>
      </c>
      <c r="H14" s="49">
        <f>+H15+H16</f>
        <v>281181182</v>
      </c>
      <c r="I14" s="24">
        <f>+I15+I16</f>
        <v>291022523</v>
      </c>
      <c r="J14" s="24">
        <f>+J15+J16</f>
        <v>301208311</v>
      </c>
      <c r="K14" s="24">
        <f>+K15+K16</f>
        <v>311750602</v>
      </c>
    </row>
    <row r="15" spans="1:11" ht="12.75">
      <c r="A15" s="857" t="s">
        <v>494</v>
      </c>
      <c r="B15" s="414">
        <f>SUM(B7:B14)</f>
        <v>9819538094</v>
      </c>
      <c r="C15" s="415">
        <f>SUM(C7:C14)</f>
        <v>10194375426</v>
      </c>
      <c r="D15" s="415">
        <f>SUM(D7:D14)</f>
        <v>10551178569</v>
      </c>
      <c r="E15" s="414">
        <f>SUM(E7:E14)</f>
        <v>10920469820</v>
      </c>
      <c r="G15" s="48" t="s">
        <v>271</v>
      </c>
      <c r="H15" s="21">
        <v>195017182</v>
      </c>
      <c r="I15" s="21">
        <v>201842783</v>
      </c>
      <c r="J15" s="21">
        <v>208907280</v>
      </c>
      <c r="K15" s="21">
        <v>216219035</v>
      </c>
    </row>
    <row r="16" spans="1:11" ht="15.75">
      <c r="A16" s="857"/>
      <c r="B16" s="855">
        <f>SUM(B15:E15)</f>
        <v>41485561909</v>
      </c>
      <c r="C16" s="856"/>
      <c r="D16" s="856"/>
      <c r="E16" s="856"/>
      <c r="G16" s="48" t="s">
        <v>272</v>
      </c>
      <c r="H16" s="21">
        <v>86164000</v>
      </c>
      <c r="I16" s="21">
        <v>89179740</v>
      </c>
      <c r="J16" s="21">
        <v>92301031</v>
      </c>
      <c r="K16" s="21">
        <v>95531567</v>
      </c>
    </row>
    <row r="17" spans="7:11" ht="12.75">
      <c r="G17" s="26" t="s">
        <v>273</v>
      </c>
      <c r="H17" s="49">
        <v>22220685</v>
      </c>
      <c r="I17" s="21">
        <v>22998409</v>
      </c>
      <c r="J17" s="21">
        <v>23803353</v>
      </c>
      <c r="K17" s="21">
        <v>24636470</v>
      </c>
    </row>
    <row r="18" spans="7:11" ht="12.75">
      <c r="G18" s="26" t="s">
        <v>36</v>
      </c>
      <c r="H18" s="49">
        <v>42462292</v>
      </c>
      <c r="I18" s="24">
        <v>43948472</v>
      </c>
      <c r="J18" s="24">
        <v>45486669</v>
      </c>
      <c r="K18" s="24">
        <v>47078702</v>
      </c>
    </row>
    <row r="19" spans="1:11" ht="12.75">
      <c r="A19" s="18" t="s">
        <v>22</v>
      </c>
      <c r="B19" s="417">
        <v>2012</v>
      </c>
      <c r="C19" s="425">
        <v>2013</v>
      </c>
      <c r="D19" s="425">
        <v>2014</v>
      </c>
      <c r="E19" s="417">
        <v>2015</v>
      </c>
      <c r="G19" s="26" t="s">
        <v>37</v>
      </c>
      <c r="H19" s="49">
        <v>31846721</v>
      </c>
      <c r="I19" s="24">
        <v>32961356</v>
      </c>
      <c r="J19" s="24">
        <v>34115003</v>
      </c>
      <c r="K19" s="24">
        <v>35309028</v>
      </c>
    </row>
    <row r="20" spans="1:11" ht="12.75">
      <c r="A20" s="20" t="s">
        <v>256</v>
      </c>
      <c r="B20" s="21">
        <v>45289600</v>
      </c>
      <c r="C20" s="21">
        <v>46874735</v>
      </c>
      <c r="D20" s="21">
        <v>48515350</v>
      </c>
      <c r="E20" s="21">
        <v>50213389</v>
      </c>
      <c r="G20" s="26" t="s">
        <v>274</v>
      </c>
      <c r="H20" s="49">
        <v>25617854</v>
      </c>
      <c r="I20" s="24">
        <v>337386855</v>
      </c>
      <c r="J20" s="24">
        <v>349195395</v>
      </c>
      <c r="K20" s="24">
        <v>361417234</v>
      </c>
    </row>
    <row r="21" spans="1:11" ht="12.75">
      <c r="A21" s="20" t="s">
        <v>257</v>
      </c>
      <c r="B21" s="21">
        <v>200000</v>
      </c>
      <c r="C21" s="21">
        <v>207000</v>
      </c>
      <c r="D21" s="21">
        <v>214245</v>
      </c>
      <c r="E21" s="21">
        <v>221744</v>
      </c>
      <c r="G21" s="26" t="s">
        <v>275</v>
      </c>
      <c r="H21" s="24">
        <v>997699810</v>
      </c>
      <c r="I21" s="24">
        <f>1357411804-C40</f>
        <v>721746927</v>
      </c>
      <c r="J21" s="24">
        <f>1404921218-D40</f>
        <v>747008070</v>
      </c>
      <c r="K21" s="24">
        <f>1454093460-E40</f>
        <v>773153352</v>
      </c>
    </row>
    <row r="22" spans="1:5" ht="12.75">
      <c r="A22" s="20" t="s">
        <v>258</v>
      </c>
      <c r="B22" s="21">
        <v>250527645</v>
      </c>
      <c r="C22" s="21">
        <v>259296114</v>
      </c>
      <c r="D22" s="21">
        <v>268371477</v>
      </c>
      <c r="E22" s="21">
        <v>277764480</v>
      </c>
    </row>
    <row r="23" spans="1:5" ht="12.75">
      <c r="A23" s="20" t="s">
        <v>24</v>
      </c>
      <c r="B23" s="21">
        <v>10000000</v>
      </c>
      <c r="C23" s="21">
        <v>10350000</v>
      </c>
      <c r="D23" s="21">
        <v>10712250</v>
      </c>
      <c r="E23" s="21">
        <v>11087178</v>
      </c>
    </row>
    <row r="24" spans="1:8" ht="12.75">
      <c r="A24" s="20" t="s">
        <v>259</v>
      </c>
      <c r="B24" s="21">
        <v>6856930</v>
      </c>
      <c r="C24" s="21">
        <v>7096922</v>
      </c>
      <c r="D24" s="21">
        <v>7345315</v>
      </c>
      <c r="E24" s="21">
        <v>7602400</v>
      </c>
      <c r="H24" s="47"/>
    </row>
    <row r="25" spans="1:5" ht="12.75">
      <c r="A25" s="20" t="s">
        <v>25</v>
      </c>
      <c r="B25" s="21">
        <v>1000000</v>
      </c>
      <c r="C25" s="21">
        <v>1035000</v>
      </c>
      <c r="D25" s="21">
        <v>1071255</v>
      </c>
      <c r="E25" s="21">
        <v>1108717</v>
      </c>
    </row>
    <row r="26" spans="1:9" ht="12.75" customHeight="1">
      <c r="A26" s="857" t="s">
        <v>495</v>
      </c>
      <c r="B26" s="414">
        <f>SUM(B20:B25)</f>
        <v>313874175</v>
      </c>
      <c r="C26" s="415">
        <f>SUM(C20:C25)</f>
        <v>324859771</v>
      </c>
      <c r="D26" s="415">
        <f>SUM(D20:D25)</f>
        <v>336229892</v>
      </c>
      <c r="E26" s="414">
        <f>SUM(E20:E25)</f>
        <v>347997908</v>
      </c>
      <c r="G26" s="47"/>
      <c r="H26" s="22"/>
      <c r="I26" s="47"/>
    </row>
    <row r="27" spans="1:9" ht="15.75">
      <c r="A27" s="857"/>
      <c r="B27" s="855">
        <f>SUM(B26:E26)</f>
        <v>1322961746</v>
      </c>
      <c r="C27" s="856"/>
      <c r="D27" s="856"/>
      <c r="E27" s="856"/>
      <c r="G27" s="47"/>
      <c r="H27" s="22"/>
      <c r="I27" s="47"/>
    </row>
    <row r="28" spans="1:8" ht="12.75">
      <c r="A28" s="416"/>
      <c r="G28" s="47"/>
      <c r="H28" s="47"/>
    </row>
    <row r="29" spans="1:8" ht="12.75">
      <c r="A29" s="20"/>
      <c r="G29" s="6"/>
      <c r="H29" s="22"/>
    </row>
    <row r="30" spans="1:8" ht="12.75">
      <c r="A30" s="23" t="s">
        <v>30</v>
      </c>
      <c r="B30" s="417">
        <v>2012</v>
      </c>
      <c r="C30" s="425">
        <v>2013</v>
      </c>
      <c r="D30" s="425">
        <v>2014</v>
      </c>
      <c r="E30" s="417">
        <v>2015</v>
      </c>
      <c r="G30" s="6"/>
      <c r="H30" s="22"/>
    </row>
    <row r="31" spans="1:8" ht="12.75">
      <c r="A31" s="20" t="s">
        <v>260</v>
      </c>
      <c r="B31" s="21">
        <v>3659506</v>
      </c>
      <c r="C31" s="21">
        <v>3787589</v>
      </c>
      <c r="D31" s="21">
        <v>3920155</v>
      </c>
      <c r="E31" s="21">
        <v>4057360</v>
      </c>
      <c r="H31" s="22"/>
    </row>
    <row r="32" spans="1:8" ht="12.75">
      <c r="A32" s="20" t="s">
        <v>2</v>
      </c>
      <c r="B32" s="21">
        <f>2015197508-B40</f>
        <v>1401028544</v>
      </c>
      <c r="C32" s="21">
        <f>2085729419-C40</f>
        <v>1450064542</v>
      </c>
      <c r="D32" s="21">
        <f>2158729949-D40</f>
        <v>1500816801</v>
      </c>
      <c r="E32" s="21">
        <f>2234285496-E40</f>
        <v>1553345388</v>
      </c>
      <c r="H32" s="22"/>
    </row>
    <row r="33" spans="1:8" ht="12.75">
      <c r="A33" s="20" t="s">
        <v>261</v>
      </c>
      <c r="B33" s="21">
        <v>105364040</v>
      </c>
      <c r="C33" s="21">
        <v>109051781</v>
      </c>
      <c r="D33" s="21">
        <v>112868593</v>
      </c>
      <c r="E33" s="21">
        <v>116818994</v>
      </c>
      <c r="H33" s="160"/>
    </row>
    <row r="34" spans="1:8" ht="12.75">
      <c r="A34" s="857" t="s">
        <v>496</v>
      </c>
      <c r="B34" s="414">
        <f>+B31+B32+B33</f>
        <v>1510052090</v>
      </c>
      <c r="C34" s="415">
        <f>+C31+C32+C33</f>
        <v>1562903912</v>
      </c>
      <c r="D34" s="415">
        <f>+D31+D32+D33</f>
        <v>1617605549</v>
      </c>
      <c r="E34" s="414">
        <f>+E31+E32+E33</f>
        <v>1674221742</v>
      </c>
      <c r="H34" s="160"/>
    </row>
    <row r="35" spans="1:5" ht="15.75">
      <c r="A35" s="857"/>
      <c r="B35" s="855">
        <f>SUM(B34:E34)</f>
        <v>6364783293</v>
      </c>
      <c r="C35" s="856"/>
      <c r="D35" s="856"/>
      <c r="E35" s="856"/>
    </row>
    <row r="36" spans="1:8" ht="12.75">
      <c r="A36" s="20"/>
      <c r="H36" s="47"/>
    </row>
    <row r="37" spans="1:8" ht="12.75">
      <c r="A37" s="18" t="s">
        <v>268</v>
      </c>
      <c r="B37" s="417">
        <v>2012</v>
      </c>
      <c r="C37" s="425">
        <v>2013</v>
      </c>
      <c r="D37" s="425">
        <v>2014</v>
      </c>
      <c r="E37" s="417">
        <v>2015</v>
      </c>
      <c r="H37" s="47"/>
    </row>
    <row r="38" spans="1:8" ht="12.75">
      <c r="A38" s="46" t="s">
        <v>266</v>
      </c>
      <c r="B38" s="22">
        <f>1013639811+259812626+26538226+153815017</f>
        <v>1453805680</v>
      </c>
      <c r="C38" s="21">
        <f>318854631+1127317184+27467064</f>
        <v>1473638879</v>
      </c>
      <c r="D38" s="21">
        <f>330014543+1166773285+28428411</f>
        <v>1525216239</v>
      </c>
      <c r="E38" s="21">
        <f>341565052+1207610350+29423405</f>
        <v>1578598807</v>
      </c>
      <c r="H38" s="47"/>
    </row>
    <row r="39" spans="1:5" ht="12.75">
      <c r="A39" s="46" t="s">
        <v>267</v>
      </c>
      <c r="B39" s="22">
        <v>185618349</v>
      </c>
      <c r="C39" s="21">
        <v>192011491</v>
      </c>
      <c r="D39" s="21">
        <v>198731893</v>
      </c>
      <c r="E39" s="21">
        <v>205687509</v>
      </c>
    </row>
    <row r="40" spans="1:5" ht="12.75">
      <c r="A40" s="46" t="s">
        <v>281</v>
      </c>
      <c r="B40" s="22">
        <v>614168964</v>
      </c>
      <c r="C40" s="21">
        <v>635664877</v>
      </c>
      <c r="D40" s="21">
        <v>657913148</v>
      </c>
      <c r="E40" s="21">
        <v>680940108</v>
      </c>
    </row>
    <row r="41" spans="1:5" ht="12.75">
      <c r="A41" s="20" t="s">
        <v>31</v>
      </c>
      <c r="B41" s="21">
        <v>74077776</v>
      </c>
      <c r="C41" s="21">
        <v>76670498</v>
      </c>
      <c r="D41" s="21">
        <v>79353965</v>
      </c>
      <c r="E41" s="21">
        <v>82131354</v>
      </c>
    </row>
    <row r="42" spans="1:5" ht="12.75">
      <c r="A42" s="857" t="s">
        <v>497</v>
      </c>
      <c r="B42" s="423">
        <f>SUM(B38:B41)</f>
        <v>2327670769</v>
      </c>
      <c r="C42" s="424">
        <f>SUM(C38:C41)</f>
        <v>2377985745</v>
      </c>
      <c r="D42" s="424">
        <f>SUM(D38:D41)</f>
        <v>2461215245</v>
      </c>
      <c r="E42" s="423">
        <f>SUM(E38:E41)</f>
        <v>2547357778</v>
      </c>
    </row>
    <row r="43" spans="1:5" ht="15.75">
      <c r="A43" s="857"/>
      <c r="B43" s="855">
        <f>SUM(B42:E42)</f>
        <v>9714229537</v>
      </c>
      <c r="C43" s="856"/>
      <c r="D43" s="856"/>
      <c r="E43" s="856"/>
    </row>
    <row r="44" spans="1:5" ht="15.75">
      <c r="A44" s="418"/>
      <c r="B44" s="419"/>
      <c r="C44" s="420"/>
      <c r="D44" s="420"/>
      <c r="E44" s="420"/>
    </row>
    <row r="45" spans="2:5" ht="12.75">
      <c r="B45" s="417">
        <v>2012</v>
      </c>
      <c r="C45" s="425">
        <v>2013</v>
      </c>
      <c r="D45" s="425">
        <v>2014</v>
      </c>
      <c r="E45" s="417">
        <v>2015</v>
      </c>
    </row>
    <row r="46" spans="1:5" ht="12.75">
      <c r="A46" s="18" t="s">
        <v>493</v>
      </c>
      <c r="B46" s="24">
        <f>675032179+80000000+50000000</f>
        <v>805032179</v>
      </c>
      <c r="C46" s="421">
        <f>1541400000+550000000</f>
        <v>2091400000</v>
      </c>
      <c r="D46" s="421">
        <f>1167848977+300000000+100000000</f>
        <v>1567848977</v>
      </c>
      <c r="E46" s="421">
        <v>694348721</v>
      </c>
    </row>
    <row r="47" spans="2:5" ht="12.75">
      <c r="B47" s="22"/>
      <c r="C47" s="5"/>
      <c r="D47" s="5"/>
      <c r="E47" s="5"/>
    </row>
    <row r="48" spans="1:5" ht="12.75">
      <c r="A48" s="25" t="s">
        <v>38</v>
      </c>
      <c r="B48" s="24">
        <v>70000000</v>
      </c>
      <c r="C48" s="422">
        <v>72450000</v>
      </c>
      <c r="D48" s="422">
        <v>74985750</v>
      </c>
      <c r="E48" s="422">
        <v>77610251</v>
      </c>
    </row>
    <row r="49" spans="1:5" ht="12.75">
      <c r="A49" s="858" t="s">
        <v>498</v>
      </c>
      <c r="B49" s="423">
        <f>SUM(B46:B48)</f>
        <v>875032179</v>
      </c>
      <c r="C49" s="424">
        <f>SUM(C46:C48)</f>
        <v>2163850000</v>
      </c>
      <c r="D49" s="424">
        <f>SUM(D46:D48)</f>
        <v>1642834727</v>
      </c>
      <c r="E49" s="423">
        <f>SUM(E46:E48)</f>
        <v>771958972</v>
      </c>
    </row>
    <row r="50" spans="1:5" ht="15.75">
      <c r="A50" s="858"/>
      <c r="B50" s="855">
        <f>SUM(B49:E49)</f>
        <v>5453675878</v>
      </c>
      <c r="C50" s="856"/>
      <c r="D50" s="856"/>
      <c r="E50" s="856"/>
    </row>
  </sheetData>
  <sheetProtection/>
  <mergeCells count="13">
    <mergeCell ref="A49:A50"/>
    <mergeCell ref="B35:E35"/>
    <mergeCell ref="B43:E43"/>
    <mergeCell ref="B50:E50"/>
    <mergeCell ref="A26:A27"/>
    <mergeCell ref="B27:E27"/>
    <mergeCell ref="A34:A35"/>
    <mergeCell ref="A42:A43"/>
    <mergeCell ref="A1:A3"/>
    <mergeCell ref="B2:E2"/>
    <mergeCell ref="H10:K10"/>
    <mergeCell ref="B16:E16"/>
    <mergeCell ref="A15:A16"/>
  </mergeCells>
  <printOptions/>
  <pageMargins left="0.31496062992125984" right="0.31496062992125984" top="0.7480314960629921" bottom="0.7480314960629921" header="0.31496062992125984" footer="0.31496062992125984"/>
  <pageSetup horizontalDpi="600" verticalDpi="600" orientation="landscape" scale="74" r:id="rId1"/>
  <headerFooter>
    <oddHeader>&amp;CPRESUPUESTO DE INGRESOS&amp;RPLAN DE DESARROLLO 2012-2015 NOBSANOS POR SIEMPRE</oddHeader>
  </headerFooter>
  <ignoredErrors>
    <ignoredError sqref="B26:E26" formulaRange="1"/>
    <ignoredError sqref="H7:K7" formula="1"/>
  </ignoredErrors>
</worksheet>
</file>

<file path=xl/worksheets/sheet3.xml><?xml version="1.0" encoding="utf-8"?>
<worksheet xmlns="http://schemas.openxmlformats.org/spreadsheetml/2006/main" xmlns:r="http://schemas.openxmlformats.org/officeDocument/2006/relationships">
  <sheetPr>
    <tabColor rgb="FFFF0000"/>
  </sheetPr>
  <dimension ref="A1:F32"/>
  <sheetViews>
    <sheetView view="pageBreakPreview" zoomScaleSheetLayoutView="100" zoomScalePageLayoutView="0" workbookViewId="0" topLeftCell="A7">
      <selection activeCell="G31" sqref="G31"/>
    </sheetView>
  </sheetViews>
  <sheetFormatPr defaultColWidth="11.421875" defaultRowHeight="15"/>
  <cols>
    <col min="1" max="1" width="14.7109375" style="1" customWidth="1"/>
    <col min="2" max="2" width="29.57421875" style="1" customWidth="1"/>
    <col min="3" max="7" width="17.28125" style="1" bestFit="1" customWidth="1"/>
    <col min="8" max="8" width="6.28125" style="1" bestFit="1" customWidth="1"/>
    <col min="9" max="16384" width="11.421875" style="1" customWidth="1"/>
  </cols>
  <sheetData>
    <row r="1" spans="2:6" ht="15" customHeight="1">
      <c r="B1" s="869" t="s">
        <v>368</v>
      </c>
      <c r="C1" s="321">
        <v>2012</v>
      </c>
      <c r="D1" s="321">
        <v>2013</v>
      </c>
      <c r="E1" s="321">
        <v>2014</v>
      </c>
      <c r="F1" s="321">
        <v>2015</v>
      </c>
    </row>
    <row r="2" spans="2:6" ht="15.75">
      <c r="B2" s="869"/>
      <c r="C2" s="325">
        <f>+C9+C17</f>
        <v>14846167311</v>
      </c>
      <c r="D2" s="325">
        <f>+D9+D17</f>
        <v>16623974861</v>
      </c>
      <c r="E2" s="325">
        <f>+E9+E17</f>
        <v>16609063968</v>
      </c>
      <c r="F2" s="325">
        <f>+F9+F17</f>
        <v>16262006223</v>
      </c>
    </row>
    <row r="3" spans="2:6" ht="18">
      <c r="B3" s="869"/>
      <c r="C3" s="866">
        <f>SUM(C2:F2)</f>
        <v>64341212363</v>
      </c>
      <c r="D3" s="867"/>
      <c r="E3" s="867"/>
      <c r="F3" s="867"/>
    </row>
    <row r="5" spans="2:6" ht="15.75">
      <c r="B5" s="324" t="s">
        <v>34</v>
      </c>
      <c r="C5" s="321">
        <v>2012</v>
      </c>
      <c r="D5" s="321">
        <v>2013</v>
      </c>
      <c r="E5" s="321">
        <v>2014</v>
      </c>
      <c r="F5" s="321">
        <v>2015</v>
      </c>
    </row>
    <row r="6" spans="2:6" ht="12.75">
      <c r="B6" s="20" t="s">
        <v>35</v>
      </c>
      <c r="C6" s="327">
        <v>270687460</v>
      </c>
      <c r="D6" s="327">
        <v>280161521</v>
      </c>
      <c r="E6" s="327">
        <v>289967175</v>
      </c>
      <c r="F6" s="327">
        <v>300116026</v>
      </c>
    </row>
    <row r="7" spans="2:6" ht="12.75">
      <c r="B7" s="20" t="s">
        <v>277</v>
      </c>
      <c r="C7" s="327">
        <v>101764000</v>
      </c>
      <c r="D7" s="327">
        <v>105325740</v>
      </c>
      <c r="E7" s="327">
        <v>109012141</v>
      </c>
      <c r="F7" s="327">
        <v>112827566</v>
      </c>
    </row>
    <row r="8" spans="2:6" ht="12.75">
      <c r="B8" s="20" t="s">
        <v>278</v>
      </c>
      <c r="C8" s="327">
        <v>2731892046</v>
      </c>
      <c r="D8" s="327">
        <v>2827508268</v>
      </c>
      <c r="E8" s="327">
        <v>2926471057</v>
      </c>
      <c r="F8" s="327">
        <v>3028897544</v>
      </c>
    </row>
    <row r="9" spans="2:6" ht="15.75">
      <c r="B9" s="868" t="s">
        <v>282</v>
      </c>
      <c r="C9" s="326">
        <f>SUM(C6:C8)</f>
        <v>3104343506</v>
      </c>
      <c r="D9" s="326">
        <f>SUM(D6:D8)</f>
        <v>3212995529</v>
      </c>
      <c r="E9" s="326">
        <f>SUM(E6:E8)</f>
        <v>3325450373</v>
      </c>
      <c r="F9" s="326">
        <f>SUM(F6:F8)</f>
        <v>3441841136</v>
      </c>
    </row>
    <row r="10" spans="2:6" ht="18">
      <c r="B10" s="868"/>
      <c r="C10" s="865">
        <f>SUM(C9:F9)</f>
        <v>13084630544</v>
      </c>
      <c r="D10" s="865"/>
      <c r="E10" s="865"/>
      <c r="F10" s="865"/>
    </row>
    <row r="12" spans="2:6" ht="12.75" customHeight="1">
      <c r="B12" s="222" t="s">
        <v>279</v>
      </c>
      <c r="C12" s="321">
        <v>2012</v>
      </c>
      <c r="D12" s="321">
        <v>2013</v>
      </c>
      <c r="E12" s="321">
        <v>2014</v>
      </c>
      <c r="F12" s="321">
        <v>2015</v>
      </c>
    </row>
    <row r="13" spans="2:6" ht="12.75">
      <c r="B13" s="20" t="s">
        <v>29</v>
      </c>
      <c r="C13" s="327">
        <f>+'PLAN PLURIANUAL INV.'!C427</f>
        <v>7700496505</v>
      </c>
      <c r="D13" s="327">
        <f>+'PLAN PLURIANUAL INV.'!G427</f>
        <v>7970013882</v>
      </c>
      <c r="E13" s="327">
        <f>+'PLAN PLURIANUAL INV.'!K427</f>
        <v>8248964350</v>
      </c>
      <c r="F13" s="327">
        <f>+'PLAN PLURIANUAL INV.'!O427</f>
        <v>8537678141</v>
      </c>
    </row>
    <row r="14" spans="2:6" ht="12.75">
      <c r="B14" s="20" t="s">
        <v>2</v>
      </c>
      <c r="C14" s="327">
        <f>+'PLAN PLURIANUAL INV.'!D427</f>
        <v>3104392855</v>
      </c>
      <c r="D14" s="327">
        <f>+'PLAN PLURIANUAL INV.'!H427</f>
        <v>3213046605</v>
      </c>
      <c r="E14" s="327">
        <f>+'PLAN PLURIANUAL INV.'!L427</f>
        <v>3325503240</v>
      </c>
      <c r="F14" s="327">
        <f>+'PLAN PLURIANUAL INV.'!P427</f>
        <v>3441895829</v>
      </c>
    </row>
    <row r="15" spans="2:6" ht="12.75">
      <c r="B15" s="20" t="s">
        <v>28</v>
      </c>
      <c r="C15" s="327">
        <f>+'PLAN PLURIANUAL INV.'!E427</f>
        <v>780396219</v>
      </c>
      <c r="D15" s="327">
        <f>+'PLAN PLURIANUAL INV.'!I427</f>
        <v>1367651781</v>
      </c>
      <c r="E15" s="327">
        <f>+'PLAN PLURIANUAL INV.'!M427</f>
        <v>990019594</v>
      </c>
      <c r="F15" s="327">
        <f>+'PLAN PLURIANUAL INV.'!Q427</f>
        <v>422470280</v>
      </c>
    </row>
    <row r="16" spans="2:6" ht="12.75" customHeight="1">
      <c r="B16" s="20" t="s">
        <v>371</v>
      </c>
      <c r="C16" s="327">
        <f>+'PLAN PLURIANUAL INV.'!F427</f>
        <v>156538226</v>
      </c>
      <c r="D16" s="47">
        <f>+'PLAN PLURIANUAL INV.'!J427</f>
        <v>860267064</v>
      </c>
      <c r="E16" s="47">
        <f>+'PLAN PLURIANUAL INV.'!N427</f>
        <v>719126411</v>
      </c>
      <c r="F16" s="47">
        <f>+'PLAN PLURIANUAL INV.'!R427</f>
        <v>418120837</v>
      </c>
    </row>
    <row r="17" spans="2:6" ht="15.75">
      <c r="B17" s="868" t="s">
        <v>283</v>
      </c>
      <c r="C17" s="326">
        <f>SUM(C13:C16)</f>
        <v>11741823805</v>
      </c>
      <c r="D17" s="326">
        <f>SUM(D13:D16)</f>
        <v>13410979332</v>
      </c>
      <c r="E17" s="326">
        <f>SUM(E13:E16)</f>
        <v>13283613595</v>
      </c>
      <c r="F17" s="326">
        <f>SUM(F13:F16)</f>
        <v>12820165087</v>
      </c>
    </row>
    <row r="18" spans="2:6" ht="18">
      <c r="B18" s="868"/>
      <c r="C18" s="865">
        <f>SUM(C17:F17)</f>
        <v>51256581819</v>
      </c>
      <c r="D18" s="865"/>
      <c r="E18" s="865"/>
      <c r="F18" s="865"/>
    </row>
    <row r="21" spans="2:6" ht="12.75">
      <c r="B21" s="17"/>
      <c r="C21" s="22"/>
      <c r="D21" s="21"/>
      <c r="E21" s="21"/>
      <c r="F21" s="21"/>
    </row>
    <row r="22" spans="3:6" ht="12.75">
      <c r="C22" s="22"/>
      <c r="D22" s="47"/>
      <c r="E22" s="47"/>
      <c r="F22" s="47"/>
    </row>
    <row r="23" spans="2:6" ht="15.75">
      <c r="B23" s="218" t="s">
        <v>33</v>
      </c>
      <c r="C23" s="331">
        <v>2012</v>
      </c>
      <c r="D23" s="331">
        <v>2013</v>
      </c>
      <c r="E23" s="331">
        <v>2014</v>
      </c>
      <c r="F23" s="331">
        <v>2015</v>
      </c>
    </row>
    <row r="24" spans="1:6" ht="12.75">
      <c r="A24" s="862" t="s">
        <v>372</v>
      </c>
      <c r="B24" s="220" t="s">
        <v>35</v>
      </c>
      <c r="C24" s="328">
        <v>270687460</v>
      </c>
      <c r="D24" s="328">
        <v>280161521</v>
      </c>
      <c r="E24" s="328">
        <v>289967175</v>
      </c>
      <c r="F24" s="328">
        <v>300116026</v>
      </c>
    </row>
    <row r="25" spans="1:6" ht="12.75">
      <c r="A25" s="862"/>
      <c r="B25" s="220" t="s">
        <v>277</v>
      </c>
      <c r="C25" s="328">
        <v>101764000</v>
      </c>
      <c r="D25" s="328">
        <v>105325740</v>
      </c>
      <c r="E25" s="328">
        <v>109012141</v>
      </c>
      <c r="F25" s="328">
        <v>112827566</v>
      </c>
    </row>
    <row r="26" spans="1:6" ht="12.75">
      <c r="A26" s="863"/>
      <c r="B26" s="221" t="s">
        <v>278</v>
      </c>
      <c r="C26" s="329">
        <v>2731892046</v>
      </c>
      <c r="D26" s="329">
        <v>2827508268</v>
      </c>
      <c r="E26" s="329">
        <v>2926471057</v>
      </c>
      <c r="F26" s="329">
        <v>3028897544</v>
      </c>
    </row>
    <row r="27" spans="1:6" ht="12.75">
      <c r="A27" s="864" t="s">
        <v>373</v>
      </c>
      <c r="B27" s="20" t="s">
        <v>29</v>
      </c>
      <c r="C27" s="327">
        <f>+'PLAN PLURIANUAL INV.'!C427</f>
        <v>7700496505</v>
      </c>
      <c r="D27" s="327">
        <f>+'PLAN PLURIANUAL INV.'!G427</f>
        <v>7970013882</v>
      </c>
      <c r="E27" s="327">
        <f>+'PLAN PLURIANUAL INV.'!K427</f>
        <v>8248964350</v>
      </c>
      <c r="F27" s="327">
        <f>+'PLAN PLURIANUAL INV.'!O427</f>
        <v>8537678141</v>
      </c>
    </row>
    <row r="28" spans="1:6" ht="12.75">
      <c r="A28" s="864"/>
      <c r="B28" s="20" t="s">
        <v>2</v>
      </c>
      <c r="C28" s="327">
        <f>+'PLAN PLURIANUAL INV.'!D427</f>
        <v>3104392855</v>
      </c>
      <c r="D28" s="327">
        <f>+'PLAN PLURIANUAL INV.'!H427</f>
        <v>3213046605</v>
      </c>
      <c r="E28" s="327">
        <f>+'PLAN PLURIANUAL INV.'!L427</f>
        <v>3325503240</v>
      </c>
      <c r="F28" s="327">
        <f>+'PLAN PLURIANUAL INV.'!P427</f>
        <v>3441895829</v>
      </c>
    </row>
    <row r="29" spans="1:6" ht="12.75">
      <c r="A29" s="864"/>
      <c r="B29" s="20" t="s">
        <v>28</v>
      </c>
      <c r="C29" s="327">
        <f>+'PLAN PLURIANUAL INV.'!E427</f>
        <v>780396219</v>
      </c>
      <c r="D29" s="327">
        <f>+'PLAN PLURIANUAL INV.'!I427</f>
        <v>1367651781</v>
      </c>
      <c r="E29" s="327">
        <f>+'PLAN PLURIANUAL INV.'!M427</f>
        <v>990019594</v>
      </c>
      <c r="F29" s="327">
        <f>+'PLAN PLURIANUAL INV.'!Q427</f>
        <v>422470280</v>
      </c>
    </row>
    <row r="30" spans="1:6" ht="12.75">
      <c r="A30" s="864"/>
      <c r="B30" s="20" t="s">
        <v>371</v>
      </c>
      <c r="C30" s="327">
        <f>+'PLAN PLURIANUAL INV.'!F427</f>
        <v>156538226</v>
      </c>
      <c r="D30" s="47">
        <f>+'PLAN PLURIANUAL INV.'!J427</f>
        <v>860267064</v>
      </c>
      <c r="E30" s="47">
        <f>+'PLAN PLURIANUAL INV.'!N427</f>
        <v>719126411</v>
      </c>
      <c r="F30" s="47">
        <f>+'PLAN PLURIANUAL INV.'!R427</f>
        <v>418120837</v>
      </c>
    </row>
    <row r="31" spans="2:6" ht="15.75">
      <c r="B31" s="861" t="s">
        <v>368</v>
      </c>
      <c r="C31" s="330">
        <f>SUM(C24:C30)</f>
        <v>14846167311</v>
      </c>
      <c r="D31" s="330">
        <f>SUM(D24:D30)</f>
        <v>16623974861</v>
      </c>
      <c r="E31" s="330">
        <f>SUM(E24:E30)</f>
        <v>16609063968</v>
      </c>
      <c r="F31" s="330">
        <f>SUM(F24:F30)</f>
        <v>16262006223</v>
      </c>
    </row>
    <row r="32" spans="2:6" ht="18">
      <c r="B32" s="861"/>
      <c r="C32" s="859">
        <f>SUM(C31:F31)</f>
        <v>64341212363</v>
      </c>
      <c r="D32" s="860"/>
      <c r="E32" s="860"/>
      <c r="F32" s="860"/>
    </row>
  </sheetData>
  <sheetProtection/>
  <mergeCells count="10">
    <mergeCell ref="C10:F10"/>
    <mergeCell ref="C3:F3"/>
    <mergeCell ref="B9:B10"/>
    <mergeCell ref="B17:B18"/>
    <mergeCell ref="B1:B3"/>
    <mergeCell ref="C32:F32"/>
    <mergeCell ref="B31:B32"/>
    <mergeCell ref="A24:A26"/>
    <mergeCell ref="A27:A30"/>
    <mergeCell ref="C18:F18"/>
  </mergeCells>
  <printOptions horizontalCentered="1"/>
  <pageMargins left="0.7086614173228347" right="0.31496062992125984" top="0.7480314960629921" bottom="0.7480314960629921" header="0.31496062992125984" footer="0.31496062992125984"/>
  <pageSetup horizontalDpi="600" verticalDpi="600" orientation="landscape" scale="80" r:id="rId1"/>
  <headerFooter>
    <oddHeader xml:space="preserve">&amp;CPRESUPUESTO DE GASTOS&amp;RPLAN DE DESARROLLO MUNICIPAL 2012-2O15 NOBSANOS POR SIEMPRE  </oddHeader>
  </headerFooter>
  <ignoredErrors>
    <ignoredError sqref="C31:F31 E9 C9:D9 F9" formulaRange="1"/>
  </ignoredErrors>
</worksheet>
</file>

<file path=xl/worksheets/sheet4.xml><?xml version="1.0" encoding="utf-8"?>
<worksheet xmlns="http://schemas.openxmlformats.org/spreadsheetml/2006/main" xmlns:r="http://schemas.openxmlformats.org/officeDocument/2006/relationships">
  <sheetPr>
    <tabColor rgb="FF00B050"/>
  </sheetPr>
  <dimension ref="A4:G13"/>
  <sheetViews>
    <sheetView view="pageBreakPreview" zoomScaleSheetLayoutView="100" zoomScalePageLayoutView="0" workbookViewId="0" topLeftCell="A1">
      <selection activeCell="B11" sqref="B11:E11"/>
    </sheetView>
  </sheetViews>
  <sheetFormatPr defaultColWidth="11.421875" defaultRowHeight="15"/>
  <cols>
    <col min="1" max="1" width="37.8515625" style="1" bestFit="1" customWidth="1"/>
    <col min="2" max="5" width="17.28125" style="1" bestFit="1" customWidth="1"/>
    <col min="6" max="6" width="20.8515625" style="1" bestFit="1" customWidth="1"/>
    <col min="7" max="7" width="7.28125" style="1" bestFit="1" customWidth="1"/>
    <col min="8" max="16384" width="11.421875" style="1" customWidth="1"/>
  </cols>
  <sheetData>
    <row r="4" spans="1:6" ht="21" customHeight="1">
      <c r="A4" s="338" t="s">
        <v>439</v>
      </c>
      <c r="B4" s="347">
        <v>2012</v>
      </c>
      <c r="C4" s="347">
        <v>2013</v>
      </c>
      <c r="D4" s="347">
        <v>2014</v>
      </c>
      <c r="E4" s="347">
        <v>2015</v>
      </c>
      <c r="F4" s="348" t="s">
        <v>276</v>
      </c>
    </row>
    <row r="5" spans="1:7" ht="19.5" customHeight="1">
      <c r="A5" s="342" t="s">
        <v>434</v>
      </c>
      <c r="B5" s="332">
        <f>+'PLAN PLURIANUAL INV.'!C11+'PLAN PLURIANUAL INV.'!C33+'PLAN PLURIANUAL INV.'!C47+'PLAN PLURIANUAL INV.'!C69+'PLAN PLURIANUAL INV.'!C100+'PLAN PLURIANUAL INV.'!C129+'PLAN PLURIANUAL INV.'!C142+'PLAN PLURIANUAL INV.'!C164+'PLAN PLURIANUAL INV.'!C188+'PLAN PLURIANUAL INV.'!C207</f>
        <v>7832688440</v>
      </c>
      <c r="C5" s="332">
        <f>+'PLAN PLURIANUAL INV.'!G11+'PLAN PLURIANUAL INV.'!G33+'PLAN PLURIANUAL INV.'!G47+'PLAN PLURIANUAL INV.'!G69+'PLAN PLURIANUAL INV.'!G100+'PLAN PLURIANUAL INV.'!G129+'PLAN PLURIANUAL INV.'!G142+'PLAN PLURIANUAL INV.'!G164+'PLAN PLURIANUAL INV.'!G188+'PLAN PLURIANUAL INV.'!G207</f>
        <v>8563075708</v>
      </c>
      <c r="D5" s="332">
        <f>+'PLAN PLURIANUAL INV.'!K11+'PLAN PLURIANUAL INV.'!K33+'PLAN PLURIANUAL INV.'!K47+'PLAN PLURIANUAL INV.'!K69+'PLAN PLURIANUAL INV.'!K100+'PLAN PLURIANUAL INV.'!K129+'PLAN PLURIANUAL INV.'!K142+'PLAN PLURIANUAL INV.'!K164+'PLAN PLURIANUAL INV.'!K188+'PLAN PLURIANUAL INV.'!K207</f>
        <v>8569829217</v>
      </c>
      <c r="E5" s="332">
        <f>+'PLAN PLURIANUAL INV.'!O11+'PLAN PLURIANUAL INV.'!O33+'PLAN PLURIANUAL INV.'!O47+'PLAN PLURIANUAL INV.'!O69+'PLAN PLURIANUAL INV.'!O100+'PLAN PLURIANUAL INV.'!O129+'PLAN PLURIANUAL INV.'!O142+'PLAN PLURIANUAL INV.'!O164+'PLAN PLURIANUAL INV.'!O188+'PLAN PLURIANUAL INV.'!O207</f>
        <v>8140578662</v>
      </c>
      <c r="F5" s="349">
        <f>SUM(B5:E5)</f>
        <v>33106172027</v>
      </c>
      <c r="G5" s="320">
        <f>F5/B11</f>
        <v>0.6458911392863905</v>
      </c>
    </row>
    <row r="6" spans="1:7" ht="19.5" customHeight="1">
      <c r="A6" s="343" t="s">
        <v>435</v>
      </c>
      <c r="B6" s="333">
        <f>+'PLAN PLURIANUAL INV.'!C220+'PLAN PLURIANUAL INV.'!C245+'PLAN PLURIANUAL INV.'!C261</f>
        <v>1054500000</v>
      </c>
      <c r="C6" s="333">
        <f>+'PLAN PLURIANUAL INV.'!G220+'PLAN PLURIANUAL INV.'!G245+'PLAN PLURIANUAL INV.'!G261</f>
        <v>2009077500</v>
      </c>
      <c r="D6" s="333">
        <f>+'PLAN PLURIANUAL INV.'!K220+'PLAN PLURIANUAL INV.'!K245+'PLAN PLURIANUAL INV.'!K261</f>
        <v>1448077358</v>
      </c>
      <c r="E6" s="333">
        <f>+'PLAN PLURIANUAL INV.'!O220+'PLAN PLURIANUAL INV.'!O245+'PLAN PLURIANUAL INV.'!O261</f>
        <v>2536525119</v>
      </c>
      <c r="F6" s="350">
        <f>SUM(B6:E6)</f>
        <v>7048179977</v>
      </c>
      <c r="G6" s="320">
        <f>F6/B11</f>
        <v>0.1375078034249126</v>
      </c>
    </row>
    <row r="7" spans="1:7" ht="19.5" customHeight="1">
      <c r="A7" s="344" t="s">
        <v>436</v>
      </c>
      <c r="B7" s="334">
        <f>+'PLAN PLURIANUAL INV.'!C282+'PLAN PLURIANUAL INV.'!C303</f>
        <v>585093683</v>
      </c>
      <c r="C7" s="334">
        <f>+'PLAN PLURIANUAL INV.'!G282+'PLAN PLURIANUAL INV.'!G303</f>
        <v>648036962</v>
      </c>
      <c r="D7" s="334">
        <f>+'PLAN PLURIANUAL INV.'!K282+'PLAN PLURIANUAL INV.'!K303</f>
        <v>658298255</v>
      </c>
      <c r="E7" s="334">
        <f>+'PLAN PLURIANUAL INV.'!O282+'PLAN PLURIANUAL INV.'!O303</f>
        <v>681338698</v>
      </c>
      <c r="F7" s="351">
        <f>SUM(B7:E7)</f>
        <v>2572767598</v>
      </c>
      <c r="G7" s="320">
        <f>F7/B11</f>
        <v>0.050193897187391374</v>
      </c>
    </row>
    <row r="8" spans="1:7" ht="19.5" customHeight="1">
      <c r="A8" s="345" t="s">
        <v>437</v>
      </c>
      <c r="B8" s="335">
        <f>+'PLAN PLURIANUAL INV.'!C322+'PLAN PLURIANUAL INV.'!C336</f>
        <v>1208000000</v>
      </c>
      <c r="C8" s="335">
        <f>+'PLAN PLURIANUAL INV.'!G322+'PLAN PLURIANUAL INV.'!G336</f>
        <v>1184228522</v>
      </c>
      <c r="D8" s="335">
        <f>+'PLAN PLURIANUAL INV.'!K322+'PLAN PLURIANUAL INV.'!K336</f>
        <v>1580268500</v>
      </c>
      <c r="E8" s="335">
        <f>+'PLAN PLURIANUAL INV.'!O322+'PLAN PLURIANUAL INV.'!O336</f>
        <v>363304089</v>
      </c>
      <c r="F8" s="352">
        <f>SUM(B8:E8)</f>
        <v>4335801111</v>
      </c>
      <c r="G8" s="320">
        <f>F8/B11</f>
        <v>0.08459013373757178</v>
      </c>
    </row>
    <row r="9" spans="1:7" ht="19.5" customHeight="1">
      <c r="A9" s="346" t="s">
        <v>438</v>
      </c>
      <c r="B9" s="336">
        <f>+'PLAN PLURIANUAL INV.'!C347+'PLAN PLURIANUAL INV.'!C376+'PLAN PLURIANUAL INV.'!C393+'PLAN PLURIANUAL INV.'!C408+'PLAN PLURIANUAL INV.'!C419</f>
        <v>1061541682</v>
      </c>
      <c r="C9" s="336">
        <f>+'PLAN PLURIANUAL INV.'!G347+'PLAN PLURIANUAL INV.'!G376+'PLAN PLURIANUAL INV.'!G393+'PLAN PLURIANUAL INV.'!G408+'PLAN PLURIANUAL INV.'!G419</f>
        <v>1006560640</v>
      </c>
      <c r="D9" s="336">
        <f>+'PLAN PLURIANUAL INV.'!K347+'PLAN PLURIANUAL INV.'!K376+'PLAN PLURIANUAL INV.'!K393+'PLAN PLURIANUAL INV.'!K408+'PLAN PLURIANUAL INV.'!K419</f>
        <v>1027140265</v>
      </c>
      <c r="E9" s="336">
        <f>+'PLAN PLURIANUAL INV.'!O347+'PLAN PLURIANUAL INV.'!O376+'PLAN PLURIANUAL INV.'!O393+'PLAN PLURIANUAL INV.'!O408+'PLAN PLURIANUAL INV.'!O419</f>
        <v>1098418519</v>
      </c>
      <c r="F9" s="353">
        <f>SUM(B9:E9)</f>
        <v>4193661106</v>
      </c>
      <c r="G9" s="320">
        <f>F9/B11</f>
        <v>0.08181702636373377</v>
      </c>
    </row>
    <row r="10" spans="1:6" ht="25.5">
      <c r="A10" s="340" t="s">
        <v>440</v>
      </c>
      <c r="B10" s="339">
        <f>SUM(B5:B9)</f>
        <v>11741823805</v>
      </c>
      <c r="C10" s="337">
        <f>SUM(C5:C9)</f>
        <v>13410979332</v>
      </c>
      <c r="D10" s="337">
        <f>SUM(D5:D9)</f>
        <v>13283613595</v>
      </c>
      <c r="E10" s="337">
        <f>SUM(E5:E9)</f>
        <v>12820165087</v>
      </c>
      <c r="F10" s="870">
        <f>SUM(F5:F9)</f>
        <v>51256581819</v>
      </c>
    </row>
    <row r="11" spans="1:6" ht="20.25" customHeight="1">
      <c r="A11" s="341" t="s">
        <v>302</v>
      </c>
      <c r="B11" s="870">
        <f>SUM(B10:E10)</f>
        <v>51256581819</v>
      </c>
      <c r="C11" s="865"/>
      <c r="D11" s="865"/>
      <c r="E11" s="871"/>
      <c r="F11" s="872"/>
    </row>
    <row r="13" spans="1:5" ht="12.75">
      <c r="A13" s="17"/>
      <c r="B13" s="22"/>
      <c r="C13" s="21"/>
      <c r="D13" s="21"/>
      <c r="E13" s="21"/>
    </row>
  </sheetData>
  <sheetProtection/>
  <mergeCells count="2">
    <mergeCell ref="B11:E11"/>
    <mergeCell ref="F10:F11"/>
  </mergeCells>
  <printOptions horizontalCentered="1"/>
  <pageMargins left="0.7086614173228347" right="0.31496062992125984" top="0.7480314960629921" bottom="0.7480314960629921" header="0.31496062992125984" footer="0.31496062992125984"/>
  <pageSetup horizontalDpi="600" verticalDpi="600" orientation="landscape" scale="80" r:id="rId1"/>
  <headerFooter>
    <oddHeader>&amp;LPRESUPUESTO DE INVERSIONES POR DIMENSIONES O LÍNEAS ESTRATÉGICAS&amp;RPLAN DE DESARROLLO MUNICIPAL 2012-2015 NOBSANOS POR SIEMPRE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Plazas</dc:creator>
  <cp:keywords/>
  <dc:description/>
  <cp:lastModifiedBy>Mayra Leguizamon</cp:lastModifiedBy>
  <cp:lastPrinted>2012-05-28T22:19:50Z</cp:lastPrinted>
  <dcterms:created xsi:type="dcterms:W3CDTF">2012-03-27T14:55:55Z</dcterms:created>
  <dcterms:modified xsi:type="dcterms:W3CDTF">2013-09-09T17:59:53Z</dcterms:modified>
  <cp:category/>
  <cp:version/>
  <cp:contentType/>
  <cp:contentStatus/>
</cp:coreProperties>
</file>