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498" activeTab="0"/>
  </bookViews>
  <sheets>
    <sheet name="MARCO FISCAL" sheetId="1" r:id="rId1"/>
    <sheet name="FUNCIONAMIENTO TOTAL" sheetId="2" r:id="rId2"/>
    <sheet name="GASTOS GENERALES" sheetId="3" r:id="rId3"/>
    <sheet name="ING CTES" sheetId="4" r:id="rId4"/>
    <sheet name="PSPTO proyecto" sheetId="5" state="hidden" r:id="rId5"/>
    <sheet name="ing comparativos" sheetId="6" state="hidden" r:id="rId6"/>
    <sheet name="INV ICLD" sheetId="7" state="hidden" r:id="rId7"/>
  </sheets>
  <definedNames/>
  <calcPr fullCalcOnLoad="1"/>
</workbook>
</file>

<file path=xl/comments1.xml><?xml version="1.0" encoding="utf-8"?>
<comments xmlns="http://schemas.openxmlformats.org/spreadsheetml/2006/main">
  <authors>
    <author>DIEGO_ALEJANDRO</author>
  </authors>
  <commentList>
    <comment ref="A225" authorId="0">
      <text>
        <r>
          <rPr>
            <b/>
            <sz val="8"/>
            <rFont val="Tahoma"/>
            <family val="2"/>
          </rPr>
          <t>DIEGO_ALEJANDRO:</t>
        </r>
        <r>
          <rPr>
            <sz val="8"/>
            <rFont val="Tahoma"/>
            <family val="2"/>
          </rPr>
          <t xml:space="preserve">
</t>
        </r>
      </text>
    </comment>
    <comment ref="B84" authorId="0">
      <text>
        <r>
          <rPr>
            <b/>
            <sz val="8"/>
            <rFont val="Tahoma"/>
            <family val="2"/>
          </rPr>
          <t xml:space="preserve">REVISAR FORMULA
</t>
        </r>
      </text>
    </comment>
    <comment ref="C84" authorId="0">
      <text>
        <r>
          <rPr>
            <b/>
            <sz val="8"/>
            <rFont val="Tahoma"/>
            <family val="2"/>
          </rPr>
          <t xml:space="preserve">REVISAR FORMULA
</t>
        </r>
      </text>
    </comment>
    <comment ref="D84" authorId="0">
      <text>
        <r>
          <rPr>
            <b/>
            <sz val="8"/>
            <rFont val="Tahoma"/>
            <family val="2"/>
          </rPr>
          <t xml:space="preserve">REVISAR FORMULA
</t>
        </r>
      </text>
    </comment>
    <comment ref="E84" authorId="0">
      <text>
        <r>
          <rPr>
            <b/>
            <sz val="8"/>
            <rFont val="Tahoma"/>
            <family val="2"/>
          </rPr>
          <t xml:space="preserve">REVISAR FORMULA
</t>
        </r>
      </text>
    </comment>
    <comment ref="F84" authorId="0">
      <text>
        <r>
          <rPr>
            <b/>
            <sz val="8"/>
            <rFont val="Tahoma"/>
            <family val="2"/>
          </rPr>
          <t xml:space="preserve">REVISAR FORMULA
</t>
        </r>
      </text>
    </comment>
    <comment ref="G84" authorId="0">
      <text>
        <r>
          <rPr>
            <b/>
            <sz val="8"/>
            <rFont val="Tahoma"/>
            <family val="2"/>
          </rPr>
          <t xml:space="preserve">REVISAR FORMULA
</t>
        </r>
      </text>
    </comment>
    <comment ref="H84" authorId="0">
      <text>
        <r>
          <rPr>
            <b/>
            <sz val="8"/>
            <rFont val="Tahoma"/>
            <family val="2"/>
          </rPr>
          <t xml:space="preserve">REVISAR FORMULA
</t>
        </r>
      </text>
    </comment>
    <comment ref="I84" authorId="0">
      <text>
        <r>
          <rPr>
            <b/>
            <sz val="8"/>
            <rFont val="Tahoma"/>
            <family val="2"/>
          </rPr>
          <t xml:space="preserve">REVISAR FORMULA
</t>
        </r>
      </text>
    </comment>
    <comment ref="J84" authorId="0">
      <text>
        <r>
          <rPr>
            <b/>
            <sz val="8"/>
            <rFont val="Tahoma"/>
            <family val="2"/>
          </rPr>
          <t xml:space="preserve">REVISAR FORMULA
</t>
        </r>
      </text>
    </comment>
    <comment ref="K84" authorId="0">
      <text>
        <r>
          <rPr>
            <b/>
            <sz val="8"/>
            <rFont val="Tahoma"/>
            <family val="2"/>
          </rPr>
          <t xml:space="preserve">REVISAR FORMULA
</t>
        </r>
      </text>
    </comment>
  </commentList>
</comments>
</file>

<file path=xl/comments5.xml><?xml version="1.0" encoding="utf-8"?>
<comments xmlns="http://schemas.openxmlformats.org/spreadsheetml/2006/main">
  <authors>
    <author>MARY_LUZ</author>
  </authors>
  <commentList>
    <comment ref="B83" authorId="0">
      <text>
        <r>
          <rPr>
            <b/>
            <sz val="9"/>
            <rFont val="Tahoma"/>
            <family val="2"/>
          </rPr>
          <t xml:space="preserve">Proyecto Consejo de politica social para mejoramiento condiciones academicas </t>
        </r>
      </text>
    </comment>
    <comment ref="B90" authorId="0">
      <text>
        <r>
          <rPr>
            <b/>
            <sz val="9"/>
            <rFont val="Tahoma"/>
            <family val="2"/>
          </rPr>
          <t xml:space="preserve">Proyecto Consejo de politica social para mejoramiento condiciones academicas </t>
        </r>
      </text>
    </comment>
    <comment ref="B91" authorId="0">
      <text>
        <r>
          <rPr>
            <sz val="9"/>
            <rFont val="Tahoma"/>
            <family val="2"/>
          </rPr>
          <t>Proyecto piloto en prescolar en instituciones educativas</t>
        </r>
      </text>
    </comment>
    <comment ref="B92" authorId="0">
      <text>
        <r>
          <rPr>
            <sz val="9"/>
            <rFont val="Tahoma"/>
            <family val="2"/>
          </rPr>
          <t>Curso Pre-Icfes</t>
        </r>
      </text>
    </comment>
    <comment ref="B95" authorId="0">
      <text>
        <r>
          <rPr>
            <sz val="9"/>
            <rFont val="Tahoma"/>
            <family val="2"/>
          </rPr>
          <t>Gratuidad en educación</t>
        </r>
      </text>
    </comment>
    <comment ref="B96" authorId="0">
      <text>
        <r>
          <rPr>
            <b/>
            <sz val="9"/>
            <rFont val="Tahoma"/>
            <family val="2"/>
          </rPr>
          <t>Dotación instituciones educativas</t>
        </r>
      </text>
    </comment>
    <comment ref="B100" authorId="0">
      <text>
        <r>
          <rPr>
            <b/>
            <sz val="9"/>
            <rFont val="Tahoma"/>
            <family val="2"/>
          </rPr>
          <t xml:space="preserve">Andes apeninos y otros </t>
        </r>
      </text>
    </comment>
    <comment ref="B103" authorId="0">
      <text>
        <r>
          <rPr>
            <b/>
            <sz val="9"/>
            <rFont val="Tahoma"/>
            <family val="2"/>
          </rPr>
          <t>Salida de estudiantes a diferentes entidades de orden nacional</t>
        </r>
      </text>
    </comment>
    <comment ref="B104" authorId="0">
      <text>
        <r>
          <rPr>
            <b/>
            <sz val="9"/>
            <rFont val="Tahoma"/>
            <family val="2"/>
          </rPr>
          <t>Ferias de ciencias y tecnología</t>
        </r>
      </text>
    </comment>
    <comment ref="B121" authorId="0">
      <text>
        <r>
          <rPr>
            <sz val="9"/>
            <rFont val="Tahoma"/>
            <family val="2"/>
          </rPr>
          <t>Acueductos sectores rurales</t>
        </r>
      </text>
    </comment>
    <comment ref="B122" authorId="0">
      <text>
        <r>
          <rPr>
            <sz val="9"/>
            <rFont val="Tahoma"/>
            <family val="2"/>
          </rPr>
          <t>Subsidio para tarifas estrato 1 y 2 A,A y A</t>
        </r>
      </text>
    </comment>
    <comment ref="B123" authorId="0">
      <text>
        <r>
          <rPr>
            <sz val="9"/>
            <rFont val="Tahoma"/>
            <family val="2"/>
          </rPr>
          <t>para todos los sectores del municipio</t>
        </r>
      </text>
    </comment>
    <comment ref="B124" authorId="0">
      <text>
        <r>
          <rPr>
            <sz val="9"/>
            <rFont val="Tahoma"/>
            <family val="2"/>
          </rPr>
          <t xml:space="preserve">Compra de insumos, mantenimiento bombas y mantenimiento planta de tratamiento centro
</t>
        </r>
      </text>
    </comment>
    <comment ref="B125" authorId="0">
      <text>
        <r>
          <rPr>
            <sz val="9"/>
            <rFont val="Tahoma"/>
            <family val="2"/>
          </rPr>
          <t xml:space="preserve">Pago cuota uso de agua USOCHICAMOCHA, Cuota por vertimentos aguas negras CORPOBOYACA
</t>
        </r>
      </text>
    </comment>
    <comment ref="B144" authorId="0">
      <text>
        <r>
          <rPr>
            <b/>
            <sz val="9"/>
            <rFont val="Tahoma"/>
            <family val="2"/>
          </rPr>
          <t>campeonato JCC, olimpiadas comunales, interescolares y otros</t>
        </r>
      </text>
    </comment>
    <comment ref="B162" authorId="0">
      <text>
        <r>
          <rPr>
            <sz val="9"/>
            <rFont val="Tahoma"/>
            <family val="2"/>
          </rPr>
          <t>Día de la madre, día del niño y eventos culturales menores.</t>
        </r>
      </text>
    </comment>
    <comment ref="B174" authorId="0">
      <text>
        <r>
          <rPr>
            <sz val="9"/>
            <rFont val="Tahoma"/>
            <family val="2"/>
          </rPr>
          <t>Señalización de Nobsa Centro</t>
        </r>
      </text>
    </comment>
    <comment ref="B175" authorId="0">
      <text>
        <r>
          <rPr>
            <sz val="9"/>
            <rFont val="Tahoma"/>
            <family val="2"/>
          </rPr>
          <t>Vía conexión avenida Holcim y circunvalar Camilo Torres</t>
        </r>
      </text>
    </comment>
    <comment ref="B176" authorId="0">
      <text>
        <r>
          <rPr>
            <sz val="9"/>
            <rFont val="Tahoma"/>
            <family val="2"/>
          </rPr>
          <t>Mantenimiento sumideros y drenajes todo el municipio</t>
        </r>
      </text>
    </comment>
    <comment ref="B177" authorId="0">
      <text>
        <r>
          <rPr>
            <sz val="9"/>
            <rFont val="Tahoma"/>
            <family val="2"/>
          </rPr>
          <t>Compra retroexcavadora y reconversión a gas de vehículos de la Alcaldía.</t>
        </r>
      </text>
    </comment>
    <comment ref="B186" authorId="0">
      <text>
        <r>
          <rPr>
            <sz val="9"/>
            <rFont val="Tahoma"/>
            <family val="2"/>
          </rPr>
          <t>mejoramientos de vivienda en todo el municipio</t>
        </r>
      </text>
    </comment>
    <comment ref="B187" authorId="0">
      <text>
        <r>
          <rPr>
            <b/>
            <sz val="9"/>
            <rFont val="Tahoma"/>
            <family val="2"/>
          </rPr>
          <t>Programas de vivienda proritaria, programas de vivienda por  autoconstruccción.</t>
        </r>
      </text>
    </comment>
    <comment ref="B193" authorId="0">
      <text>
        <r>
          <rPr>
            <b/>
            <sz val="9"/>
            <rFont val="Tahoma"/>
            <family val="2"/>
          </rPr>
          <t>Pago inspectores de policia</t>
        </r>
      </text>
    </comment>
  </commentList>
</comments>
</file>

<file path=xl/comments7.xml><?xml version="1.0" encoding="utf-8"?>
<comments xmlns="http://schemas.openxmlformats.org/spreadsheetml/2006/main">
  <authors>
    <author>MARY_LUZ</author>
  </authors>
  <commentList>
    <comment ref="A629" authorId="0">
      <text>
        <r>
          <rPr>
            <b/>
            <sz val="9"/>
            <rFont val="Tahoma"/>
            <family val="2"/>
          </rPr>
          <t>formulación de proyectos</t>
        </r>
      </text>
    </comment>
    <comment ref="A625" authorId="0">
      <text>
        <r>
          <rPr>
            <b/>
            <sz val="9"/>
            <rFont val="Tahoma"/>
            <family val="2"/>
          </rPr>
          <t>Consultoria para reestructuración administrativa</t>
        </r>
      </text>
    </comment>
    <comment ref="A605" authorId="0">
      <text>
        <r>
          <rPr>
            <b/>
            <sz val="9"/>
            <rFont val="Tahoma"/>
            <family val="2"/>
          </rPr>
          <t>campeonato JCC, olimpiadas comunales, interescolares y otros</t>
        </r>
      </text>
    </comment>
    <comment ref="A598" authorId="0">
      <text>
        <r>
          <rPr>
            <sz val="9"/>
            <rFont val="Tahoma"/>
            <family val="2"/>
          </rPr>
          <t>Día de la madre, día del niño y eventos culturales menores.</t>
        </r>
      </text>
    </comment>
    <comment ref="A590" authorId="0">
      <text>
        <r>
          <rPr>
            <b/>
            <sz val="9"/>
            <rFont val="Tahoma"/>
            <family val="2"/>
          </rPr>
          <t>Atención Grupos de la tercera edad</t>
        </r>
      </text>
    </comment>
    <comment ref="A585" authorId="0">
      <text>
        <r>
          <rPr>
            <b/>
            <sz val="9"/>
            <rFont val="Tahoma"/>
            <family val="2"/>
          </rPr>
          <t>Mercados a personas vulnerables</t>
        </r>
      </text>
    </comment>
    <comment ref="A569" authorId="0">
      <text>
        <r>
          <rPr>
            <b/>
            <sz val="9"/>
            <rFont val="Tahoma"/>
            <family val="2"/>
          </rPr>
          <t>Convenio con ESE salud Nobsa para Sistema de Información</t>
        </r>
      </text>
    </comment>
    <comment ref="A538" authorId="0">
      <text>
        <r>
          <rPr>
            <b/>
            <sz val="9"/>
            <rFont val="Tahoma"/>
            <family val="2"/>
          </rPr>
          <t>Programas de vivienda proritaria, programas de vivienda por  autoconstruccción.</t>
        </r>
      </text>
    </comment>
    <comment ref="A537" authorId="0">
      <text>
        <r>
          <rPr>
            <sz val="9"/>
            <rFont val="Tahoma"/>
            <family val="2"/>
          </rPr>
          <t>mejoramientos de vivienda en todo el municipio</t>
        </r>
      </text>
    </comment>
    <comment ref="A519" authorId="0">
      <text>
        <r>
          <rPr>
            <sz val="9"/>
            <rFont val="Tahoma"/>
            <family val="2"/>
          </rPr>
          <t>Préstamos para educación superior adquiridos y cupos nuevos en universidades públicas</t>
        </r>
      </text>
    </comment>
    <comment ref="A513" authorId="0">
      <text>
        <r>
          <rPr>
            <b/>
            <sz val="9"/>
            <rFont val="Tahoma"/>
            <family val="2"/>
          </rPr>
          <t>Ferias de ciencias y tecnología</t>
        </r>
      </text>
    </comment>
    <comment ref="A512" authorId="0">
      <text>
        <r>
          <rPr>
            <b/>
            <sz val="9"/>
            <rFont val="Tahoma"/>
            <family val="2"/>
          </rPr>
          <t>Salida de estudiantes a diferentes entidades de orden nacional</t>
        </r>
      </text>
    </comment>
    <comment ref="A508" authorId="0">
      <text>
        <r>
          <rPr>
            <b/>
            <sz val="9"/>
            <rFont val="Tahoma"/>
            <family val="2"/>
          </rPr>
          <t xml:space="preserve">Andes apeninos y otros </t>
        </r>
      </text>
    </comment>
    <comment ref="A504" authorId="0">
      <text>
        <r>
          <rPr>
            <b/>
            <sz val="9"/>
            <rFont val="Tahoma"/>
            <family val="2"/>
          </rPr>
          <t>Dotación instituciones educativas</t>
        </r>
      </text>
    </comment>
    <comment ref="A503" authorId="0">
      <text>
        <r>
          <rPr>
            <sz val="9"/>
            <rFont val="Tahoma"/>
            <family val="2"/>
          </rPr>
          <t>Gratuidad en educación</t>
        </r>
      </text>
    </comment>
    <comment ref="A499" authorId="0">
      <text>
        <r>
          <rPr>
            <sz val="9"/>
            <rFont val="Tahoma"/>
            <family val="2"/>
          </rPr>
          <t>Curso Pre-Icfes</t>
        </r>
      </text>
    </comment>
    <comment ref="A496" authorId="0">
      <text>
        <r>
          <rPr>
            <sz val="9"/>
            <rFont val="Tahoma"/>
            <family val="2"/>
          </rPr>
          <t>Proyecto piloto en prescolar en instituciones educativas</t>
        </r>
      </text>
    </comment>
    <comment ref="A495" authorId="0">
      <text>
        <r>
          <rPr>
            <b/>
            <sz val="9"/>
            <rFont val="Tahoma"/>
            <family val="2"/>
          </rPr>
          <t xml:space="preserve">Proyecto Consejo de politica social para mejoramiento condiciones academicas </t>
        </r>
      </text>
    </comment>
    <comment ref="A489" authorId="0">
      <text>
        <r>
          <rPr>
            <sz val="9"/>
            <rFont val="Tahoma"/>
            <family val="2"/>
          </rPr>
          <t>terminación laboratorios Colegio Nazareth</t>
        </r>
      </text>
    </comment>
    <comment ref="A488" authorId="0">
      <text>
        <r>
          <rPr>
            <sz val="9"/>
            <rFont val="Tahoma"/>
            <family val="2"/>
          </rPr>
          <t>Manteniento de los establecimientos eduucativos del municipio</t>
        </r>
      </text>
    </comment>
    <comment ref="A468" authorId="0">
      <text>
        <r>
          <rPr>
            <sz val="9"/>
            <rFont val="Tahoma"/>
            <family val="2"/>
          </rPr>
          <t>Cofinanciación proyectos con diferentes entidades</t>
        </r>
      </text>
    </comment>
    <comment ref="A445" authorId="0">
      <text>
        <r>
          <rPr>
            <sz val="9"/>
            <rFont val="Tahoma"/>
            <family val="2"/>
          </rPr>
          <t>EPSAGRO, interventoria y otros</t>
        </r>
      </text>
    </comment>
    <comment ref="A412" authorId="0">
      <text>
        <r>
          <rPr>
            <sz val="9"/>
            <rFont val="Tahoma"/>
            <family val="2"/>
          </rPr>
          <t>Juzgado municipal</t>
        </r>
      </text>
    </comment>
    <comment ref="A411" authorId="0">
      <text>
        <r>
          <rPr>
            <sz val="9"/>
            <rFont val="Tahoma"/>
            <family val="2"/>
          </rPr>
          <t>Pago celadores infraestructura municipal</t>
        </r>
      </text>
    </comment>
    <comment ref="A408" authorId="0">
      <text>
        <r>
          <rPr>
            <b/>
            <sz val="9"/>
            <rFont val="Tahoma"/>
            <family val="2"/>
          </rPr>
          <t>Pago inspectores de policia</t>
        </r>
      </text>
    </comment>
    <comment ref="A401" authorId="0">
      <text>
        <r>
          <rPr>
            <sz val="9"/>
            <rFont val="Tahoma"/>
            <family val="2"/>
          </rPr>
          <t>Plazoleta de eventos culturales</t>
        </r>
      </text>
    </comment>
    <comment ref="A400" authorId="0">
      <text>
        <r>
          <rPr>
            <sz val="9"/>
            <rFont val="Tahoma"/>
            <family val="2"/>
          </rPr>
          <t>Parque Nazareth, Parque Jeronimo, Polideportivo JEG, Adecuacion cancha Guaquida, Arcos cancha minifutbol Chameza Alto</t>
        </r>
      </text>
    </comment>
    <comment ref="A399" authorId="0">
      <text>
        <r>
          <rPr>
            <b/>
            <sz val="9"/>
            <rFont val="Tahoma"/>
            <family val="2"/>
          </rPr>
          <t>Parque Nazareth</t>
        </r>
      </text>
    </comment>
    <comment ref="A398" authorId="0">
      <text>
        <r>
          <rPr>
            <sz val="9"/>
            <rFont val="Tahoma"/>
            <family val="2"/>
          </rPr>
          <t>Asonobsa, Caleras, Horqueta, JEG, Chámeza Sector Alto</t>
        </r>
      </text>
    </comment>
    <comment ref="A397" authorId="0">
      <text>
        <r>
          <rPr>
            <sz val="9"/>
            <rFont val="Tahoma"/>
            <family val="2"/>
          </rPr>
          <t xml:space="preserve">auditorio mcipal, empresa de servicios publicos
 </t>
        </r>
      </text>
    </comment>
    <comment ref="A391" authorId="0">
      <text>
        <r>
          <rPr>
            <sz val="9"/>
            <rFont val="Tahoma"/>
            <family val="2"/>
          </rPr>
          <t>Compra retroexcavadora y reconversión a gas de vehículos de la Alcaldía.</t>
        </r>
      </text>
    </comment>
    <comment ref="A390" authorId="0">
      <text>
        <r>
          <rPr>
            <sz val="9"/>
            <rFont val="Tahoma"/>
            <family val="2"/>
          </rPr>
          <t>Mantenimiento sumideros y drenajes todo el municipio</t>
        </r>
      </text>
    </comment>
    <comment ref="A389" authorId="0">
      <text>
        <r>
          <rPr>
            <sz val="9"/>
            <rFont val="Tahoma"/>
            <family val="2"/>
          </rPr>
          <t>Vía conexión avenida Holcim y circunvalar Camilo Torres</t>
        </r>
      </text>
    </comment>
    <comment ref="A388" authorId="0">
      <text>
        <r>
          <rPr>
            <sz val="9"/>
            <rFont val="Tahoma"/>
            <family val="2"/>
          </rPr>
          <t>Señalización de Nobsa Centro</t>
        </r>
      </text>
    </comment>
    <comment ref="A384" authorId="0">
      <text>
        <r>
          <rPr>
            <sz val="9"/>
            <rFont val="Tahoma"/>
            <family val="2"/>
          </rPr>
          <t>Convenios Gas Natural diferentes sectores del municipio</t>
        </r>
      </text>
    </comment>
    <comment ref="A383" authorId="0">
      <text>
        <r>
          <rPr>
            <sz val="9"/>
            <rFont val="Tahoma"/>
            <family val="2"/>
          </rPr>
          <t>TV cable San martin y Dichó</t>
        </r>
      </text>
    </comment>
    <comment ref="A382" authorId="0">
      <text>
        <r>
          <rPr>
            <sz val="9"/>
            <rFont val="Tahoma"/>
            <family val="2"/>
          </rPr>
          <t xml:space="preserve">Postería, redes, transformadores en todos los sectores </t>
        </r>
      </text>
    </comment>
    <comment ref="A381" authorId="0">
      <text>
        <r>
          <rPr>
            <sz val="9"/>
            <rFont val="Tahoma"/>
            <family val="2"/>
          </rPr>
          <t>Pago deuda año 2007, y pago compra de lumininarias, y consumo alumbrado publico</t>
        </r>
      </text>
    </comment>
    <comment ref="A378" authorId="0">
      <text>
        <r>
          <rPr>
            <sz val="9"/>
            <rFont val="Tahoma"/>
            <family val="2"/>
          </rPr>
          <t xml:space="preserve">Relleno Sanitario
</t>
        </r>
      </text>
    </comment>
    <comment ref="A376" authorId="0">
      <text>
        <r>
          <rPr>
            <sz val="9"/>
            <rFont val="Tahoma"/>
            <family val="2"/>
          </rPr>
          <t xml:space="preserve">Pago cuota uso de agua USOCHICAMOCHA, Cuota por vertimentos aguas negras CORPOBOYACA
</t>
        </r>
      </text>
    </comment>
    <comment ref="A375" authorId="0">
      <text>
        <r>
          <rPr>
            <sz val="9"/>
            <rFont val="Tahoma"/>
            <family val="2"/>
          </rPr>
          <t xml:space="preserve">Compra de insumos, mantenimiento bombas y mantenimiento planta de tratamiento centro
</t>
        </r>
      </text>
    </comment>
    <comment ref="A374" authorId="0">
      <text>
        <r>
          <rPr>
            <sz val="9"/>
            <rFont val="Tahoma"/>
            <family val="2"/>
          </rPr>
          <t>para todos los sectores del municipio</t>
        </r>
      </text>
    </comment>
    <comment ref="A373" authorId="0">
      <text>
        <r>
          <rPr>
            <sz val="9"/>
            <rFont val="Tahoma"/>
            <family val="2"/>
          </rPr>
          <t>Subsidio para tarifas estrato 1 y 2 A,A y A</t>
        </r>
      </text>
    </comment>
    <comment ref="A372" authorId="0">
      <text>
        <r>
          <rPr>
            <sz val="9"/>
            <rFont val="Tahoma"/>
            <family val="2"/>
          </rPr>
          <t>Acueductos sectores rurales</t>
        </r>
      </text>
    </comment>
    <comment ref="A371" authorId="0">
      <text>
        <r>
          <rPr>
            <sz val="9"/>
            <rFont val="Tahoma"/>
            <family val="2"/>
          </rPr>
          <t xml:space="preserve">Optimizacion redes de alcantarillado de Puntalarga y las Caleras
</t>
        </r>
      </text>
    </comment>
    <comment ref="A370" authorId="0">
      <text>
        <r>
          <rPr>
            <b/>
            <sz val="9"/>
            <rFont val="Tahoma"/>
            <family val="2"/>
          </rPr>
          <t>Optimizacion redes casco urbano Nobsa y barrio Nazareth</t>
        </r>
        <r>
          <rPr>
            <sz val="9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9"/>
            <rFont val="Tahoma"/>
            <family val="2"/>
          </rPr>
          <t xml:space="preserve">Proyecto Consejo de politica social para mejoramiento condiciones academicas </t>
        </r>
      </text>
    </comment>
    <comment ref="B17" authorId="0">
      <text>
        <r>
          <rPr>
            <b/>
            <sz val="9"/>
            <rFont val="Tahoma"/>
            <family val="2"/>
          </rPr>
          <t xml:space="preserve">Proyecto Consejo de politica social para mejoramiento condiciones academicas </t>
        </r>
      </text>
    </comment>
    <comment ref="B18" authorId="0">
      <text>
        <r>
          <rPr>
            <sz val="9"/>
            <rFont val="Tahoma"/>
            <family val="2"/>
          </rPr>
          <t>Proyecto piloto en prescolar en instituciones educativas</t>
        </r>
      </text>
    </comment>
    <comment ref="B19" authorId="0">
      <text>
        <r>
          <rPr>
            <sz val="9"/>
            <rFont val="Tahoma"/>
            <family val="2"/>
          </rPr>
          <t>Curso Pre-Icfes</t>
        </r>
      </text>
    </comment>
    <comment ref="B23" authorId="0">
      <text>
        <r>
          <rPr>
            <sz val="9"/>
            <rFont val="Tahoma"/>
            <family val="2"/>
          </rPr>
          <t>Gratuidad en educación</t>
        </r>
      </text>
    </comment>
    <comment ref="B24" authorId="0">
      <text>
        <r>
          <rPr>
            <b/>
            <sz val="9"/>
            <rFont val="Tahoma"/>
            <family val="2"/>
          </rPr>
          <t>Dotación instituciones educativas</t>
        </r>
      </text>
    </comment>
    <comment ref="B28" authorId="0">
      <text>
        <r>
          <rPr>
            <b/>
            <sz val="9"/>
            <rFont val="Tahoma"/>
            <family val="2"/>
          </rPr>
          <t xml:space="preserve">Andes apeninos y otros </t>
        </r>
      </text>
    </comment>
    <comment ref="B32" authorId="0">
      <text>
        <r>
          <rPr>
            <b/>
            <sz val="9"/>
            <rFont val="Tahoma"/>
            <family val="2"/>
          </rPr>
          <t>Salida de estudiantes a diferentes entidades de orden nacional</t>
        </r>
      </text>
    </comment>
    <comment ref="B33" authorId="0">
      <text>
        <r>
          <rPr>
            <b/>
            <sz val="9"/>
            <rFont val="Tahoma"/>
            <family val="2"/>
          </rPr>
          <t>Ferias de ciencias y tecnología</t>
        </r>
      </text>
    </comment>
    <comment ref="B41" authorId="0">
      <text>
        <r>
          <rPr>
            <sz val="9"/>
            <rFont val="Tahoma"/>
            <family val="2"/>
          </rPr>
          <t>Préstamos para educación superior adquiridos y cupos nuevos en universidades públicas</t>
        </r>
      </text>
    </comment>
    <comment ref="B58" authorId="0">
      <text>
        <r>
          <rPr>
            <sz val="9"/>
            <rFont val="Tahoma"/>
            <family val="2"/>
          </rPr>
          <t>Acueductos sectores rurales</t>
        </r>
      </text>
    </comment>
    <comment ref="B59" authorId="0">
      <text>
        <r>
          <rPr>
            <sz val="9"/>
            <rFont val="Tahoma"/>
            <family val="2"/>
          </rPr>
          <t>Subsidio para tarifas estrato 1 y 2 A,A y A</t>
        </r>
      </text>
    </comment>
    <comment ref="B60" authorId="0">
      <text>
        <r>
          <rPr>
            <sz val="9"/>
            <rFont val="Tahoma"/>
            <family val="2"/>
          </rPr>
          <t>para todos los sectores del municipio</t>
        </r>
      </text>
    </comment>
    <comment ref="B61" authorId="0">
      <text>
        <r>
          <rPr>
            <sz val="9"/>
            <rFont val="Tahoma"/>
            <family val="2"/>
          </rPr>
          <t xml:space="preserve">Compra de insumos, mantenimiento bombas y mantenimiento planta de tratamiento centro
</t>
        </r>
      </text>
    </comment>
    <comment ref="B62" authorId="0">
      <text>
        <r>
          <rPr>
            <sz val="9"/>
            <rFont val="Tahoma"/>
            <family val="2"/>
          </rPr>
          <t xml:space="preserve">Pago cuota uso de agua USOCHICAMOCHA, Cuota por vertimentos aguas negras CORPOBOYACA
</t>
        </r>
      </text>
    </comment>
    <comment ref="B77" authorId="0">
      <text>
        <r>
          <rPr>
            <b/>
            <sz val="9"/>
            <rFont val="Tahoma"/>
            <family val="2"/>
          </rPr>
          <t>campeonato JCC, olimpiadas comunales, interescolares y otros</t>
        </r>
      </text>
    </comment>
    <comment ref="B98" authorId="0">
      <text>
        <r>
          <rPr>
            <sz val="9"/>
            <rFont val="Tahoma"/>
            <family val="2"/>
          </rPr>
          <t>Día de la madre, día del niño y eventos culturales menores.</t>
        </r>
      </text>
    </comment>
    <comment ref="B151" authorId="0">
      <text>
        <r>
          <rPr>
            <sz val="9"/>
            <rFont val="Tahoma"/>
            <family val="2"/>
          </rPr>
          <t>Señalización de Nobsa Centro</t>
        </r>
      </text>
    </comment>
    <comment ref="B152" authorId="0">
      <text>
        <r>
          <rPr>
            <sz val="9"/>
            <rFont val="Tahoma"/>
            <family val="2"/>
          </rPr>
          <t>Vía conexión avenida Holcim y circunvalar Camilo Torres</t>
        </r>
      </text>
    </comment>
    <comment ref="B153" authorId="0">
      <text>
        <r>
          <rPr>
            <sz val="9"/>
            <rFont val="Tahoma"/>
            <family val="2"/>
          </rPr>
          <t>Mantenimiento sumideros y drenajes todo el municipio</t>
        </r>
      </text>
    </comment>
    <comment ref="B156" authorId="0">
      <text>
        <r>
          <rPr>
            <sz val="9"/>
            <rFont val="Tahoma"/>
            <family val="2"/>
          </rPr>
          <t>Compra retroexcavadora y reconversión a gas de vehículos de la Alcaldía.</t>
        </r>
      </text>
    </comment>
    <comment ref="B165" authorId="0">
      <text>
        <r>
          <rPr>
            <sz val="9"/>
            <rFont val="Tahoma"/>
            <family val="2"/>
          </rPr>
          <t>mejoramientos de vivienda en todo el municipio</t>
        </r>
      </text>
    </comment>
    <comment ref="B166" authorId="0">
      <text>
        <r>
          <rPr>
            <b/>
            <sz val="9"/>
            <rFont val="Tahoma"/>
            <family val="2"/>
          </rPr>
          <t>Programas de vivienda proritaria, programas de vivienda por  autoconstruccción.</t>
        </r>
      </text>
    </comment>
    <comment ref="B173" authorId="0">
      <text>
        <r>
          <rPr>
            <b/>
            <sz val="9"/>
            <rFont val="Tahoma"/>
            <family val="2"/>
          </rPr>
          <t>Pago inspectores de policia</t>
        </r>
      </text>
    </comment>
    <comment ref="B180" authorId="0">
      <text>
        <r>
          <rPr>
            <sz val="9"/>
            <rFont val="Tahoma"/>
            <family val="2"/>
          </rPr>
          <t>Pago celadores infraestructura municipal</t>
        </r>
      </text>
    </comment>
    <comment ref="B181" authorId="0">
      <text>
        <r>
          <rPr>
            <sz val="9"/>
            <rFont val="Tahoma"/>
            <family val="2"/>
          </rPr>
          <t>Juzgado municipal</t>
        </r>
      </text>
    </comment>
    <comment ref="B207" authorId="0">
      <text>
        <r>
          <rPr>
            <sz val="9"/>
            <rFont val="Tahoma"/>
            <family val="2"/>
          </rPr>
          <t xml:space="preserve">auditorio mcipal, empresa de servicios publicos
 </t>
        </r>
      </text>
    </comment>
    <comment ref="B129" authorId="0">
      <text>
        <r>
          <rPr>
            <sz val="9"/>
            <rFont val="Tahoma"/>
            <family val="2"/>
          </rPr>
          <t>Asonobsa, Caleras, Horqueta, JEG, Chámeza Sector Alto</t>
        </r>
      </text>
    </comment>
    <comment ref="B130" authorId="0">
      <text>
        <r>
          <rPr>
            <sz val="9"/>
            <rFont val="Tahoma"/>
            <family val="2"/>
          </rPr>
          <t>Plazoleta de eventos culturales</t>
        </r>
      </text>
    </comment>
    <comment ref="B85" authorId="0">
      <text>
        <r>
          <rPr>
            <b/>
            <sz val="9"/>
            <rFont val="Tahoma"/>
            <family val="2"/>
          </rPr>
          <t>Parque Nazareth</t>
        </r>
      </text>
    </comment>
    <comment ref="B86" authorId="0">
      <text>
        <r>
          <rPr>
            <sz val="9"/>
            <rFont val="Tahoma"/>
            <family val="2"/>
          </rPr>
          <t>Parque Nazareth, Parque Jeronimo, Polideportivo JEG, Adecuacion cancha Guaquida, Arcos cancha minifutbol Chameza Alto</t>
        </r>
      </text>
    </comment>
    <comment ref="B248" authorId="0">
      <text>
        <r>
          <rPr>
            <sz val="9"/>
            <rFont val="Tahoma"/>
            <family val="2"/>
          </rPr>
          <t>EPSAGRO, interventoria y otros</t>
        </r>
      </text>
    </comment>
    <comment ref="B252" authorId="0">
      <text>
        <r>
          <rPr>
            <sz val="9"/>
            <rFont val="Tahoma"/>
            <family val="2"/>
          </rPr>
          <t>Cofinanciación proyectos con diferentes entidades</t>
        </r>
      </text>
    </comment>
    <comment ref="B307" authorId="0">
      <text>
        <r>
          <rPr>
            <b/>
            <sz val="9"/>
            <rFont val="Tahoma"/>
            <family val="2"/>
          </rPr>
          <t>Mercados a personas vulnerables</t>
        </r>
      </text>
    </comment>
    <comment ref="B311" authorId="0">
      <text>
        <r>
          <rPr>
            <b/>
            <sz val="9"/>
            <rFont val="Tahoma"/>
            <family val="2"/>
          </rPr>
          <t>Atención Grupos de la tercera edad</t>
        </r>
      </text>
    </comment>
    <comment ref="B271" authorId="0">
      <text>
        <r>
          <rPr>
            <b/>
            <sz val="9"/>
            <rFont val="Tahoma"/>
            <family val="2"/>
          </rPr>
          <t>Consultoria para reestructuración administrativa</t>
        </r>
      </text>
    </comment>
    <comment ref="B274" authorId="0">
      <text>
        <r>
          <rPr>
            <b/>
            <sz val="9"/>
            <rFont val="Tahoma"/>
            <family val="2"/>
          </rPr>
          <t>formulación de proyectos</t>
        </r>
      </text>
    </comment>
    <comment ref="B315" authorId="0">
      <text>
        <r>
          <rPr>
            <b/>
            <sz val="9"/>
            <rFont val="Tahoma"/>
            <family val="2"/>
          </rPr>
          <t>Convenio con ESE salud Nobsa para Sistema de Información</t>
        </r>
      </text>
    </comment>
  </commentList>
</comments>
</file>

<file path=xl/sharedStrings.xml><?xml version="1.0" encoding="utf-8"?>
<sst xmlns="http://schemas.openxmlformats.org/spreadsheetml/2006/main" count="1153" uniqueCount="686">
  <si>
    <r>
      <t xml:space="preserve">ARTICULO TERCERO:  </t>
    </r>
    <r>
      <rPr>
        <sz val="11"/>
        <rFont val="Arial"/>
        <family val="2"/>
      </rPr>
      <t>Las disposiciones generales del presente Acuerdo son complementarias de las leyes orgánicas del Presupuesto Estatuto Orgánico del Presupuesto Municipal y deben aplicarse en armonía con estas.</t>
    </r>
  </si>
  <si>
    <t>INGRESOS CORRIENTES</t>
  </si>
  <si>
    <t>INGRESOS TRIBUTARIOS</t>
  </si>
  <si>
    <t>IMPUESTOS DIRECTOS</t>
  </si>
  <si>
    <t>Impuesto predial unificado</t>
  </si>
  <si>
    <t>Impuesto de circulación y tránsito</t>
  </si>
  <si>
    <t>IMPUESTOS INDIRECTOS</t>
  </si>
  <si>
    <t>Impuesto de industria y comercio</t>
  </si>
  <si>
    <t>Retención impuesto de industria y comercio</t>
  </si>
  <si>
    <t>Rifas, apuestas y sorteos</t>
  </si>
  <si>
    <t>Impuesto de delineación o demarcación urbana</t>
  </si>
  <si>
    <t>INGRESOS NO TRIBUTARIOS</t>
  </si>
  <si>
    <t>Publicaciones Gaceta Oficial</t>
  </si>
  <si>
    <t>Sobretasa a la Gasolina</t>
  </si>
  <si>
    <t>Otros ingresos no tributarios</t>
  </si>
  <si>
    <t>RENTAS CONTRACTUALES</t>
  </si>
  <si>
    <t>Arrendamiento bienes inmuebles</t>
  </si>
  <si>
    <t>SISTEMA GENERAL DE PARTICIPACIONES</t>
  </si>
  <si>
    <t>Calidad en educación</t>
  </si>
  <si>
    <t>Agua Potable y Saneamiento Básico</t>
  </si>
  <si>
    <t>Deporte</t>
  </si>
  <si>
    <t>Cultura</t>
  </si>
  <si>
    <t>Otros Sectores</t>
  </si>
  <si>
    <t>Alimentación Escolar</t>
  </si>
  <si>
    <t>Degüello de ganado mayor</t>
  </si>
  <si>
    <t>REGALÍAS</t>
  </si>
  <si>
    <t>Regalías</t>
  </si>
  <si>
    <t>FONDOS ESPECIALES Y RENTAS DE DESTINACION ESPECIFICA</t>
  </si>
  <si>
    <t>FONDO LOCAL DE SALUD</t>
  </si>
  <si>
    <t>RECURSOS DEL SISTEMA GENERAL DE PARTICIPACIONES</t>
  </si>
  <si>
    <t>Régimen subsidiado continuidad</t>
  </si>
  <si>
    <t>RECURSOS DE ETESA</t>
  </si>
  <si>
    <t>FONDO DE SOLIDARIDAD Y REDISTRIBUCION DE LOS INGRESOS DEL ORDEN MUNICIPAL PARA LOS SERVICIOS DE ACUEDUCTO, ALCANTARILLADO Y ASEO</t>
  </si>
  <si>
    <t>FONDO PRESTAMOS ESTUDIOS SUPERIORES</t>
  </si>
  <si>
    <t>Ingresos amortización créditos</t>
  </si>
  <si>
    <t>ESTAMPILLA PROCULTURA</t>
  </si>
  <si>
    <t>Estampilla Procultura</t>
  </si>
  <si>
    <t>RECURSOS DE CAPITAL</t>
  </si>
  <si>
    <t>DESCRIPCION</t>
  </si>
  <si>
    <t>Avisos y tableros</t>
  </si>
  <si>
    <t>Publicidad exterior visual</t>
  </si>
  <si>
    <t>Impuesto de Espectáculos públicos municipales</t>
  </si>
  <si>
    <t>Impuesto sobre el servicio de alumbrado público</t>
  </si>
  <si>
    <t>TASAS Y DERECHOS</t>
  </si>
  <si>
    <t>MULTAS Y SANCIONES</t>
  </si>
  <si>
    <t>MULTAS DE GOBIERNO</t>
  </si>
  <si>
    <t>Sanciones urbanísticas</t>
  </si>
  <si>
    <t>Otras multas de gobierno</t>
  </si>
  <si>
    <t>INTERESES MORATORIOS</t>
  </si>
  <si>
    <t>Predial</t>
  </si>
  <si>
    <t>Industria y comercio</t>
  </si>
  <si>
    <t>SANCIONES TRIBUTARIAS</t>
  </si>
  <si>
    <t>VENTA DE BIENES Y SERVICIOS</t>
  </si>
  <si>
    <t>TRANSFERENCIAS</t>
  </si>
  <si>
    <t>TRANSFERENCIAS PARA FUNCIONAMIENTO</t>
  </si>
  <si>
    <t>DEL NIVEL DEPARTAMENTAL</t>
  </si>
  <si>
    <t>TRANSFERENCIAS PARA INVERSION</t>
  </si>
  <si>
    <t>DEL NIVEL NACIONAL</t>
  </si>
  <si>
    <t>SGP Educación</t>
  </si>
  <si>
    <t>SISTEMA GENERAL FORZOSA INVERSION DE PARTICIPACION  DE PROPOSITO GENERAL</t>
  </si>
  <si>
    <t>Rendimientos Financieros provenientes de recursos de libre destinación</t>
  </si>
  <si>
    <t>INGRESOS DE FORZOSA DESTINACION</t>
  </si>
  <si>
    <t>CORPOBOYACA</t>
  </si>
  <si>
    <t>TOTAL INGRESOS DE FORZOSA DESTINACION</t>
  </si>
  <si>
    <t>TOTAL INGRESOS CORRIENTES DE LIBRE DESTINACION</t>
  </si>
  <si>
    <t>RECURSOS DE CAPITAL (RENDIMIENTOS FINANCIEROS RECURSOS PROPIOS)</t>
  </si>
  <si>
    <t>TOTAL INGRESOS CORRIENTES DE LIBRE DESTINACION + RECURSOS DE CAPITAL</t>
  </si>
  <si>
    <t>INGRESOS DE LIBRE DESTINACION</t>
  </si>
  <si>
    <t>TOTAL INGRESOS DE LIBRE DESTINACION Y FORZOSA DESTINACION</t>
  </si>
  <si>
    <t>Concejo Municipal</t>
  </si>
  <si>
    <t>Honorarios Concejales</t>
  </si>
  <si>
    <t>Viáticos y gastos de viaje</t>
  </si>
  <si>
    <t>Materiales y suministros</t>
  </si>
  <si>
    <t>Servicio de comunicación y transporte</t>
  </si>
  <si>
    <t>Impresos y publicaciones</t>
  </si>
  <si>
    <t>Mobiliario y enseres de oficina</t>
  </si>
  <si>
    <t>Mantenimiento, muebles, enseres y equipo de oficina</t>
  </si>
  <si>
    <t>Gastos Gaceta Oficial</t>
  </si>
  <si>
    <t>Gastos protocolarios</t>
  </si>
  <si>
    <t>Gastos imprevistos</t>
  </si>
  <si>
    <t>Federación Colombiana de municipios</t>
  </si>
  <si>
    <t>Capacitación personal de la administración</t>
  </si>
  <si>
    <t>Sentencias y conciliaciones</t>
  </si>
  <si>
    <t>Combustible y lubricantes vehículos pequeños</t>
  </si>
  <si>
    <t>Impuestos vehículos</t>
  </si>
  <si>
    <t>Dotación empleados públicos</t>
  </si>
  <si>
    <t>Salud Ocupacional</t>
  </si>
  <si>
    <t>Seguros</t>
  </si>
  <si>
    <t>Gastos de vigilancia</t>
  </si>
  <si>
    <t>Compra de equipo</t>
  </si>
  <si>
    <t>Servicios públicos</t>
  </si>
  <si>
    <t>Arrendamiento bienes muebles</t>
  </si>
  <si>
    <t>Fondo de compensación</t>
  </si>
  <si>
    <t>Gastos financieros</t>
  </si>
  <si>
    <t>Tasas y contribuciones</t>
  </si>
  <si>
    <t>Mantenimiento y reparación de maquinaria</t>
  </si>
  <si>
    <t>TOTAL GASTOS GENERALES</t>
  </si>
  <si>
    <t>ALCALDIA MUNICIPAL Y SUS DEPENDENCIAS</t>
  </si>
  <si>
    <t>SERVICIOS PERSONALES</t>
  </si>
  <si>
    <t>SERVICIOS PERSONALES ASOCIADOS A LA NOMINA</t>
  </si>
  <si>
    <t>Sueldo personal de nómina</t>
  </si>
  <si>
    <t>Auxilio de transporte</t>
  </si>
  <si>
    <t>Prima de alimentación</t>
  </si>
  <si>
    <t>Prima de navidad</t>
  </si>
  <si>
    <t>Prima de servicios</t>
  </si>
  <si>
    <t>Indemnización por vacaciones</t>
  </si>
  <si>
    <t>Prima de vacaciones</t>
  </si>
  <si>
    <t>Bonificaciones</t>
  </si>
  <si>
    <t>SERVICIOS PERSONALES INDIRECTOS</t>
  </si>
  <si>
    <t>Honorarios a técnicos y profesionales</t>
  </si>
  <si>
    <t>Entrega oficinas funcionarios de manejo</t>
  </si>
  <si>
    <t>Nocturnos, dominicales y festivos</t>
  </si>
  <si>
    <t>Sena Practicantes</t>
  </si>
  <si>
    <t>CONTRIBUCIONES INHERENTES A LA NOMINA</t>
  </si>
  <si>
    <t>CONTRIBUCIONES INHERENTES A LA NOMINA (SECTOR PUBLICO)</t>
  </si>
  <si>
    <t>SEGURIDAD SOCIAL</t>
  </si>
  <si>
    <t>Pensiones Instituto de Seguro Social</t>
  </si>
  <si>
    <t>Salud Instituto de Seguro Social</t>
  </si>
  <si>
    <t>APORTES PARAFISCALES</t>
  </si>
  <si>
    <t>Servicio Nacional de Aprendizaje SENA</t>
  </si>
  <si>
    <t>Instituto Colombiano de Bienestar Familiar ICBF</t>
  </si>
  <si>
    <t>Caja de Compensación Familiar de Boyacá COMFABOY</t>
  </si>
  <si>
    <t>Escuela Superior de Administración Pública ESAP</t>
  </si>
  <si>
    <t>Escuelas Industriales</t>
  </si>
  <si>
    <t>CONTRIBUCIONES INHERENTES A LA NOMINA (SECTOR PRIVADO)</t>
  </si>
  <si>
    <t>Fondos Administradores en Cesantías</t>
  </si>
  <si>
    <t>Fondos Administradores en Pensiones</t>
  </si>
  <si>
    <t>Entidades Promotoras de Salud</t>
  </si>
  <si>
    <t>Administrador de riesgos profesionales</t>
  </si>
  <si>
    <t>Intereses a la cesantía Ley 50</t>
  </si>
  <si>
    <t>Intereses a la Cesantía Oficiales</t>
  </si>
  <si>
    <t>TRANSFERENCIAS DE LEY</t>
  </si>
  <si>
    <t>Mesadas pensionales</t>
  </si>
  <si>
    <t>Bonos Pensionales</t>
  </si>
  <si>
    <t>Cuotas partes pensionales</t>
  </si>
  <si>
    <t xml:space="preserve">Mantenimiento vehículos </t>
  </si>
  <si>
    <t>GASTOS GENERALES</t>
  </si>
  <si>
    <t>TOTAL GASTOS DE FUNCIONAMIENTO</t>
  </si>
  <si>
    <t>COMISARIA</t>
  </si>
  <si>
    <t>SALARIOS</t>
  </si>
  <si>
    <t>TRANSPORTE</t>
  </si>
  <si>
    <t>ALIMENTACION</t>
  </si>
  <si>
    <t>PRIMA DE SERVICIOS</t>
  </si>
  <si>
    <t>VACACIONES</t>
  </si>
  <si>
    <t>PRIMA DE VACACIONES</t>
  </si>
  <si>
    <t>PRIMA DE NAVIDAD</t>
  </si>
  <si>
    <t xml:space="preserve">CESANTIAS </t>
  </si>
  <si>
    <t>SALUD ISS</t>
  </si>
  <si>
    <t>PENSION ISS</t>
  </si>
  <si>
    <t>SALUD EPS</t>
  </si>
  <si>
    <t>PENSIONES AFP</t>
  </si>
  <si>
    <t>RIESGOS</t>
  </si>
  <si>
    <t>COMFABOY</t>
  </si>
  <si>
    <t>ICBF</t>
  </si>
  <si>
    <t xml:space="preserve">SENA </t>
  </si>
  <si>
    <t>ESAP</t>
  </si>
  <si>
    <t>INSTITUTOS TECNICOS</t>
  </si>
  <si>
    <t>INSPECCIONES</t>
  </si>
  <si>
    <t>TOTAL COMISARIA</t>
  </si>
  <si>
    <t>TOTAL INSPECCIONES</t>
  </si>
  <si>
    <t>INTERESES CESANTIAS LEY 50</t>
  </si>
  <si>
    <t>INTERESES A LA CESANTIA LEY 50</t>
  </si>
  <si>
    <t>Materiales de consulta y suscripción</t>
  </si>
  <si>
    <t>DESCRIPCIÓN</t>
  </si>
  <si>
    <t>2.1  GASTOS DE FUNCIONAMIENTO</t>
  </si>
  <si>
    <t>Servicios Personales</t>
  </si>
  <si>
    <t>Gastos Generales</t>
  </si>
  <si>
    <t>Transferencias de Ley</t>
  </si>
  <si>
    <t>Capital</t>
  </si>
  <si>
    <t>Intereses</t>
  </si>
  <si>
    <t>Fondo de Redistribución del ingreso</t>
  </si>
  <si>
    <t>Corpoboyacá</t>
  </si>
  <si>
    <t>Sobretasa Bomberil</t>
  </si>
  <si>
    <t>Impuesto y tasa de alumbrado público</t>
  </si>
  <si>
    <t>Sistema General de Participaciones para inversión</t>
  </si>
  <si>
    <t>Educación</t>
  </si>
  <si>
    <t>Propósito General</t>
  </si>
  <si>
    <t>FONDO DE SOLIDARIDAD Y REDISTRIBUCION DEL INGRESO</t>
  </si>
  <si>
    <t>TOTAL PRESUPUESTO DE GASTOS</t>
  </si>
  <si>
    <t>INVERSIONES ADMINISTRATIVAS FINANCIADAS CON ICLD</t>
  </si>
  <si>
    <t>INVERSIONES ADMINISTRATIVAS FINANCIADAS CON INGRESOS DE FORZOSA DESTINACION</t>
  </si>
  <si>
    <t>OTRAS INVERSIONES FINANCIADAS CON ICLD</t>
  </si>
  <si>
    <t>2.2  SERVICIO DE LA DEUDA</t>
  </si>
  <si>
    <t>2.1.1 CONCEJO MUNICIPAL</t>
  </si>
  <si>
    <t>2.1.2  PERSONERIA</t>
  </si>
  <si>
    <t>2.1.3 ALCALDIA MUNICIPAL Y SUS DEPENDENCIAS</t>
  </si>
  <si>
    <t>2.3 INVERSION</t>
  </si>
  <si>
    <t>2.3.1  TOTAL INVERSIONES RECURSOS PROPIOS</t>
  </si>
  <si>
    <t>2.3.2 SISTEMA GENERAL DE PARTICIPACIONES</t>
  </si>
  <si>
    <t>2.3.3  REGALIAS</t>
  </si>
  <si>
    <t>2.3.4  FONDOS ESPECIALES Y RENTAS DE DESTINACION ESPECIFICA</t>
  </si>
  <si>
    <t>AÑO 2010</t>
  </si>
  <si>
    <t>AÑO 2011</t>
  </si>
  <si>
    <t>AÑO 2012</t>
  </si>
  <si>
    <t>AÑO 2013</t>
  </si>
  <si>
    <t>AÑO 2014</t>
  </si>
  <si>
    <t>AÑO 2015</t>
  </si>
  <si>
    <t>AÑO 2016</t>
  </si>
  <si>
    <t>AÑO 2017</t>
  </si>
  <si>
    <t>AÑO 2018</t>
  </si>
  <si>
    <t>INCREMENTO IPC</t>
  </si>
  <si>
    <t>RECURSOS DE FOSYGA</t>
  </si>
  <si>
    <t>RECURSOS DEPARTAMENTALES</t>
  </si>
  <si>
    <t>Vigencia futura régimen subsidiado continuidad</t>
  </si>
  <si>
    <t>RENDIMIENTOS  FINANCIEROS</t>
  </si>
  <si>
    <t>MENOS GASTOS DE FUNCIONAMIENTO</t>
  </si>
  <si>
    <t>MENOS GASTOS DE INVERSION</t>
  </si>
  <si>
    <t>TOTAL</t>
  </si>
  <si>
    <t>SEGÚN LEY 358</t>
  </si>
  <si>
    <t xml:space="preserve">TRIBUTARIO </t>
  </si>
  <si>
    <t xml:space="preserve">INGRESOS NO TRIBUTARIOS </t>
  </si>
  <si>
    <t>REGALIAS</t>
  </si>
  <si>
    <t xml:space="preserve">PARTICIPACION EN RENTA DE LA NACION </t>
  </si>
  <si>
    <t>RENDIMIENTOS FINANCIEROS</t>
  </si>
  <si>
    <t xml:space="preserve">TOTAL INGRESOS CORRIENTES </t>
  </si>
  <si>
    <t>GASTOS DE FUNCIONAMIENTO</t>
  </si>
  <si>
    <t xml:space="preserve">AHORRO OPERACIONAL </t>
  </si>
  <si>
    <t>INTERESES</t>
  </si>
  <si>
    <t>SALDO DE LA DEUDA</t>
  </si>
  <si>
    <t>CAPACIDAD DE PAGO</t>
  </si>
  <si>
    <t>INTERESES /AHORRO OPERACIONAL</t>
  </si>
  <si>
    <t>SALDO DE LA DEUDA/INGRESOS CORRIENTES</t>
  </si>
  <si>
    <t>SUPERAVIT PRIMARIO / INTERESES</t>
  </si>
  <si>
    <t>SEMAFORO</t>
  </si>
  <si>
    <t>CONCEJO</t>
  </si>
  <si>
    <t>PERSONERIA</t>
  </si>
  <si>
    <t>ALCALDIA</t>
  </si>
  <si>
    <t>VERDE</t>
  </si>
  <si>
    <t xml:space="preserve">Sanciones tributarias </t>
  </si>
  <si>
    <t xml:space="preserve">Impuesto predial unificado   15% </t>
  </si>
  <si>
    <t>Vigencias futuras Proyecto Redes de acueducto urbano</t>
  </si>
  <si>
    <t>MUNICIPIO DE NOBSA</t>
  </si>
  <si>
    <t>Personal eventual o supernumerario</t>
  </si>
  <si>
    <t>Prov. Salarial y demás emolumentos salariales</t>
  </si>
  <si>
    <t>Gastos Legales, notariales, avaluos</t>
  </si>
  <si>
    <t>Junta defensora de animales</t>
  </si>
  <si>
    <t>Bienestar social empleados</t>
  </si>
  <si>
    <t>TOTAL COMISARIA, INSPECCIONES</t>
  </si>
  <si>
    <t>Vigencia Futuras Regalías</t>
  </si>
  <si>
    <t>Implementación de la primera fase del Plan Maestro de Acueducto y Alcantarillado - PMAA</t>
  </si>
  <si>
    <t>Regalias</t>
  </si>
  <si>
    <t>CUADRO ANEXO 4:</t>
  </si>
  <si>
    <t>CORRESPONDIENTE AL MES DE AGOSTO DE 2008</t>
  </si>
  <si>
    <t>RECAUDO 2007</t>
  </si>
  <si>
    <t>RECAUDO 2008</t>
  </si>
  <si>
    <t>% INCREMENTO</t>
  </si>
  <si>
    <t>INGRESOS</t>
  </si>
  <si>
    <t>891553019.83</t>
  </si>
  <si>
    <t>Circulación y Transito</t>
  </si>
  <si>
    <t>4721341235.15</t>
  </si>
  <si>
    <t>Industria y Comercio</t>
  </si>
  <si>
    <t>4429148756.65</t>
  </si>
  <si>
    <t>Comlementarios, avisos y Tableros y Vallas</t>
  </si>
  <si>
    <t>Espectaculos Públicos</t>
  </si>
  <si>
    <t>Delineación Urbana y Paramentos</t>
  </si>
  <si>
    <t>78993.50</t>
  </si>
  <si>
    <t>Sobretasa a Combustibles</t>
  </si>
  <si>
    <t>Impuesto de Alumbrado Público</t>
  </si>
  <si>
    <t>1881192050.80</t>
  </si>
  <si>
    <t>Matricula de Industria y Comercio</t>
  </si>
  <si>
    <t>Licencias de Aprob. Y Constrc. De Planos</t>
  </si>
  <si>
    <t>11358775.04</t>
  </si>
  <si>
    <t>Gaceta Municipal</t>
  </si>
  <si>
    <t>(N) Estampilla Pro-Cultura</t>
  </si>
  <si>
    <t>VENTA DE SERVICIOS PUBLICOS</t>
  </si>
  <si>
    <t>INGRESOS OCACIONALES</t>
  </si>
  <si>
    <t>24304410.03</t>
  </si>
  <si>
    <t>Arriendos Bienes Inmuebles</t>
  </si>
  <si>
    <t>Alquiler Maquinaria</t>
  </si>
  <si>
    <t>REGIMEN SUBSIDIADO</t>
  </si>
  <si>
    <t>SGP. Salud Pública</t>
  </si>
  <si>
    <t>S.G.P. ALIMENTACION COMPLEMENTARIA ESCOLAR</t>
  </si>
  <si>
    <t>(N) Agua Potable y Saneamiento básico</t>
  </si>
  <si>
    <t>S.G.P PROPOSITO GENERAL</t>
  </si>
  <si>
    <t>RENTAS DEPARTAMENTALES</t>
  </si>
  <si>
    <t>Deguello Ganado Mayor</t>
  </si>
  <si>
    <t>34155497.20</t>
  </si>
  <si>
    <t>Regalias Propias</t>
  </si>
  <si>
    <t>RECURSOS DE COFINANCIACION</t>
  </si>
  <si>
    <t>324120491.53</t>
  </si>
  <si>
    <t>322404869.53</t>
  </si>
  <si>
    <t>Fosyga</t>
  </si>
  <si>
    <t>Etesa</t>
  </si>
  <si>
    <t>13945439.53</t>
  </si>
  <si>
    <t>Instituto Nacional de vias (INVIAS)</t>
  </si>
  <si>
    <t>ICBF Clubes Prejuveniles</t>
  </si>
  <si>
    <t>(N) Recursos del Departamento (Régimen Subsidiado)</t>
  </si>
  <si>
    <t>(N) Recursos de Corpoboyacá</t>
  </si>
  <si>
    <t>FONDOS ESPECIALES</t>
  </si>
  <si>
    <t>Fondo de Maquinaria</t>
  </si>
  <si>
    <t>Fondo de Vivienda</t>
  </si>
  <si>
    <t>Fondo de Seguridad</t>
  </si>
  <si>
    <t>41508586.03</t>
  </si>
  <si>
    <t>RECURSOS DEL CREDITO</t>
  </si>
  <si>
    <t>RECURSOS DEL BALANCE</t>
  </si>
  <si>
    <t>RENDIMINETOS DE INVERSIONES FINANCIERAS</t>
  </si>
  <si>
    <t>Intereses y Dividendos Rrecursos SGP</t>
  </si>
  <si>
    <t>Intereses y Dividendos Recursos Propios</t>
  </si>
  <si>
    <t>PROYECTO DE ACUERDO No. ______</t>
  </si>
  <si>
    <t>(                                      )</t>
  </si>
  <si>
    <t>EL HONORABLE CONCEJO MUNICIPAL DE NOBSA</t>
  </si>
  <si>
    <t>en uso de sus facultades legales, en especial</t>
  </si>
  <si>
    <t>de las que le confiere el artículo 313, numeral 5 de la</t>
  </si>
  <si>
    <t>Constitución Política de Colombia,</t>
  </si>
  <si>
    <t>A C U E R D A :</t>
  </si>
  <si>
    <t>PRIMERA PARTE</t>
  </si>
  <si>
    <t>RENTAS DEL PRESUPUESTO GENERAL DEL MUNICIPIO DE NOBSA</t>
  </si>
  <si>
    <t>I.  INGRESOS DELPRESUPUESTO MUNICIPAL</t>
  </si>
  <si>
    <t>TOTAL PRESUPUESTO DE INGRESOS CORRIENTES, FONDOS ESPECIALES, RENTAS DE DESTINACION ESPECIFICA Y RECURSOS DE CAPITAL DE LA ADMINISTRACIÓN CENTRAL</t>
  </si>
  <si>
    <t>SEGUNDA PARTE</t>
  </si>
  <si>
    <t>I.  EGRESOS DEL MUNICIPIO DE NOBSA</t>
  </si>
  <si>
    <t>1. GASTOS DE FUNCIONAMIENTO (LEY 617/2000)</t>
  </si>
  <si>
    <t>1.1 Concejo municipal</t>
  </si>
  <si>
    <t>1.2 Honorarios concejales</t>
  </si>
  <si>
    <t>1.3 Personería municipal</t>
  </si>
  <si>
    <t>1.4 Alcaldía municipal y sus dependencias</t>
  </si>
  <si>
    <t>2. PLAN OPERATIVO ANUAL DE INVERSIONES</t>
  </si>
  <si>
    <t>2.1  INVERSIONES ADMINISTRATIVAS RECURSOS CORRIENTES DE LIBRE DESTINACIÓN</t>
  </si>
  <si>
    <t>2.2  SISTEMA GENERAL DE PARTICIPACIONES</t>
  </si>
  <si>
    <t>EDUCACION</t>
  </si>
  <si>
    <t>CALIDAD EDUCATIVA</t>
  </si>
  <si>
    <t>PROGRAMA:  Construcción, ampliación y mejoramiento de establecimientos educativos</t>
  </si>
  <si>
    <t>Construcción,  mantenimiento y dotación de instituciones  Educativas.</t>
  </si>
  <si>
    <t xml:space="preserve">Aulas especializadas </t>
  </si>
  <si>
    <t>PROGRAMA:  Transformación pedagógica de las instituciones educativas</t>
  </si>
  <si>
    <t xml:space="preserve">Protección a la niñez y Juventud en las Instituciones Educativas </t>
  </si>
  <si>
    <t>Bilingüismo</t>
  </si>
  <si>
    <t>Aseguramiento del servicio de educación.</t>
  </si>
  <si>
    <t>Evaluación de resultados y procesos educativos</t>
  </si>
  <si>
    <t>PROGRAMA:  Acceso y permanencia para todos y todas</t>
  </si>
  <si>
    <t>Subsidios a la demanda educativa</t>
  </si>
  <si>
    <t>Canasta  educativa.</t>
  </si>
  <si>
    <t>PROGRAMA:  Educación para jóvenes y adultos</t>
  </si>
  <si>
    <t>Oportunidades educativas para jóvenes y adultos desescolarizados que se encuentran por fuera del sistema educativo</t>
  </si>
  <si>
    <t>PROGRAMA:  Escuela para todos</t>
  </si>
  <si>
    <t>Salidas pedagógicas.</t>
  </si>
  <si>
    <t>Promoción de condiciones y habilidades</t>
  </si>
  <si>
    <t>Foro educativo</t>
  </si>
  <si>
    <t>AGUA POTABLE Y SANEAMIENTO BASICO</t>
  </si>
  <si>
    <t>PROGRAMA:  Cualificación del hábitat, el entorno competitivo y ordenación del territorio</t>
  </si>
  <si>
    <t>Formulación plan maestro de acueducto y alcantarillado</t>
  </si>
  <si>
    <t>Construcción, mantenimiento y dotación de acueductos municipales</t>
  </si>
  <si>
    <t>Fondo de redistribución del Ingreso.</t>
  </si>
  <si>
    <t>Construcción, mantenimiento y dotación de alcantarillados municipales</t>
  </si>
  <si>
    <t>Optimización y funcionamiento de los sistemas de potabilización de agua.</t>
  </si>
  <si>
    <t>Cuota de manejo, administración y participación de USOCHICAMOCHA Y CORPOBOYACA</t>
  </si>
  <si>
    <t>PROPOSITO GENERAL</t>
  </si>
  <si>
    <t xml:space="preserve"> DEPORTE</t>
  </si>
  <si>
    <t>DEPORTE</t>
  </si>
  <si>
    <t>PROGRAMA:  Deporte  para todos.</t>
  </si>
  <si>
    <t xml:space="preserve">Dotacion y suministro de elemetos e implementos para la practica deportiva y recretiva. </t>
  </si>
  <si>
    <t>Apoyos a Escuelas y delegaciones  Deportivas .</t>
  </si>
  <si>
    <t>Escuela Taurina.</t>
  </si>
  <si>
    <t>Realizacion y produccion  de eventos Deportivos.</t>
  </si>
  <si>
    <t>PROGRAMA:  Alternativas para el uso adecuado del tiempo libre para ninos y adolecentes.</t>
  </si>
  <si>
    <t>Escuelas de formacion deportiva (niños y adolescentes).</t>
  </si>
  <si>
    <t>CULTURA</t>
  </si>
  <si>
    <t>Nobsa toda una Cultura.</t>
  </si>
  <si>
    <t xml:space="preserve">Dotacion y suministro de elementos e implementos para la practica cultural </t>
  </si>
  <si>
    <t>Apoyo a  delegaciones Culturales.</t>
  </si>
  <si>
    <t>Realizacion y produccion  de eventos culturales.</t>
  </si>
  <si>
    <t>OTROS SECTORES</t>
  </si>
  <si>
    <t>SECTOR TRANSPORTE</t>
  </si>
  <si>
    <t>Movilidad eficiente</t>
  </si>
  <si>
    <t>Estudios y diseños para el mejoramiento de la movilidad municipal</t>
  </si>
  <si>
    <t>Educación y  dotación de implementos para la seguridad vial.</t>
  </si>
  <si>
    <t>Construcción, mantenimiento y adecuación  de infraestructura vial.</t>
  </si>
  <si>
    <t>Mantenimiento, mejoramiento o renovación del espacio público con mobiliario, obras de arte, andenes y otros.</t>
  </si>
  <si>
    <t>Compra, reparación y mantenimiento del equipos, vehículos y maquinaria.</t>
  </si>
  <si>
    <t>SECTOR VIVIENDA</t>
  </si>
  <si>
    <t>Información y acción VIS</t>
  </si>
  <si>
    <t>Estudio de  oferta y demanda de vivienda municipal.</t>
  </si>
  <si>
    <t>Mejoramientos de vivienda urbana y rural</t>
  </si>
  <si>
    <t>Mejoramiento de vivienda para todos</t>
  </si>
  <si>
    <t>Vivienda para todos.</t>
  </si>
  <si>
    <t>SECTOR JUSTICIA</t>
  </si>
  <si>
    <t>Convivencia y Seguridad</t>
  </si>
  <si>
    <t>Inspecciones de Policía</t>
  </si>
  <si>
    <t>Comisaria de Familia</t>
  </si>
  <si>
    <t>Convenio INPEC.</t>
  </si>
  <si>
    <t>Alimentacion personas detenidas</t>
  </si>
  <si>
    <t>Cultura para el manejo de conflictos:</t>
  </si>
  <si>
    <t>Convenio Casa del Menor</t>
  </si>
  <si>
    <t>Convenio Centro de paso de menores infractores</t>
  </si>
  <si>
    <t>Implementación del PGIRS</t>
  </si>
  <si>
    <t>SERVICIOS PUBLICOS</t>
  </si>
  <si>
    <t>Pago de alumbrado publico</t>
  </si>
  <si>
    <t>Remodelación, ampliación y re potenciación de redes de alumbrado público</t>
  </si>
  <si>
    <t>Apoyo a la masificación de servicios diferentes a saneamiento y alumbrado</t>
  </si>
  <si>
    <t>Masificación del gas domiciliario Urbano y Rural</t>
  </si>
  <si>
    <t>ALIMENTACION ESCOLAR</t>
  </si>
  <si>
    <t>PROGRAMA:  Alianzas para la protección</t>
  </si>
  <si>
    <t>Restaurantes escolares.</t>
  </si>
  <si>
    <t>TOTAL SISTEMA GENERAL DE PARTICIPACIONES</t>
  </si>
  <si>
    <t>2.3  INVERSIONES (REGALÍAS)</t>
  </si>
  <si>
    <t>PROGRAMA:  TRANSFERENCIAS (LEY 141/94)</t>
  </si>
  <si>
    <t>Transferencias - Departamentos  (14%)</t>
  </si>
  <si>
    <t>Transferencias Fondo Nacional de Regalías (13%)</t>
  </si>
  <si>
    <t>Transferencia - Fonpet (10%)</t>
  </si>
  <si>
    <t>Transferencia - Tesoro Nacional (2%)</t>
  </si>
  <si>
    <t>TOTAL INVERSIONES REGALIAS</t>
  </si>
  <si>
    <t>2.4 FONDOS Y RECURSOS DE DESTINACION ESPECIFICA</t>
  </si>
  <si>
    <t>RECURSOS SISTEMA GENERAL DE PARTICIPACIONES SECTOR SALUD</t>
  </si>
  <si>
    <t>PROGRAMA:  Aseguramiento efectivo</t>
  </si>
  <si>
    <t>Regimen Subsidiado de Salud para pobres y vulnerables.</t>
  </si>
  <si>
    <t>Régimen subsidiado ampliación</t>
  </si>
  <si>
    <t>SALUD PUBLICA</t>
  </si>
  <si>
    <t>PROGRAMA:  Fortalecimiento de la Salud Pública.</t>
  </si>
  <si>
    <t>Plan Local de Salud.</t>
  </si>
  <si>
    <t>Recursos de Etesa (Ley 643/2001)</t>
  </si>
  <si>
    <t>RECURSOS DEL DEPARTAMENTO</t>
  </si>
  <si>
    <t>INTERVENTORIA REGIMEN SUBSIDIADO</t>
  </si>
  <si>
    <t>Vigencia futura interventoría</t>
  </si>
  <si>
    <t>Interventoría del régimen subsidiado (0.4% recursos de régimen subsidiado)</t>
  </si>
  <si>
    <t>FONDO DE REDISTRIBUCIÓN DE LOS INGRESOS DEL ORDEN MUNICIPAL PARA LOS SERVICIOS DE ACUEDUCTO, ALCANTARILLADO Y ASEO</t>
  </si>
  <si>
    <t>RECURSOS DEL SISTEMA GENERAL DE PARTICIPACIONES (PROPOSITO GENERAL SECTOR AGUA POTABLE Y SANEAMIENTO BÁSICO)</t>
  </si>
  <si>
    <t>Gastos Fondo de Redistribución de los ingresos del orden municipal para los servicios de acueducto, alcantarillado y aseo</t>
  </si>
  <si>
    <t>RECURSOS PROPIOS</t>
  </si>
  <si>
    <t>FONDO CUENTA PARA ESTUDIOS SUPERIORES</t>
  </si>
  <si>
    <t>PROGRAMA:  Articulación entre el sector educativo y sector productivo</t>
  </si>
  <si>
    <t>Convenio ICETEX</t>
  </si>
  <si>
    <t>Transferencia (20%) Fonpet</t>
  </si>
  <si>
    <t>Seguridad social creadores y gestores culturales</t>
  </si>
  <si>
    <t>TOTAL FONDOS Y RECURSOS DE DESTINACION ESPECIFICA</t>
  </si>
  <si>
    <t>TOTAL PLAN OPERATIVO ANUAL DE INVERSIONES</t>
  </si>
  <si>
    <t xml:space="preserve">TOTAL GASTOS DE FUNCIONAMIENTO Y PLAN OPERATIVO ANUAL DE INVERSIONES </t>
  </si>
  <si>
    <t>TERCERA PARTE</t>
  </si>
  <si>
    <t>ALCALDE MUNICIPAL</t>
  </si>
  <si>
    <t>Apoyo para reconversión tecnología ambientalmente amigable (hornos cal ppa/)</t>
  </si>
  <si>
    <t xml:space="preserve">Implementación del Plan de Saneamiento y Manejo de Vertimiento </t>
  </si>
  <si>
    <t>Capacitación y Educación ambiental</t>
  </si>
  <si>
    <t>Reforestación</t>
  </si>
  <si>
    <t>Adquisición y Conservación de áreas de interés</t>
  </si>
  <si>
    <t>Control de erosión</t>
  </si>
  <si>
    <t>Implementación de Acciones de conservación y recuperación.</t>
  </si>
  <si>
    <t>Apoyo para formulacion de PRAES - PROCEDAS</t>
  </si>
  <si>
    <t>Formulación del Plan Municipal Ambiental</t>
  </si>
  <si>
    <t>Planeación Ambiental</t>
  </si>
  <si>
    <t>Informe de gestion de La Administracion</t>
  </si>
  <si>
    <t>Institucionalizacion de consejos comunitario</t>
  </si>
  <si>
    <t>Gestión Pública con participación social</t>
  </si>
  <si>
    <t>Creacion Unidad de Educacion</t>
  </si>
  <si>
    <t>Creacion de la unidad de proyectos.</t>
  </si>
  <si>
    <t>Modernizacion del archivo municipal.</t>
  </si>
  <si>
    <t>Creacion Empresa de Servicios</t>
  </si>
  <si>
    <t>Especialización para la prestación de los servicios</t>
  </si>
  <si>
    <t>Pagina Web  y acceso a internet.</t>
  </si>
  <si>
    <t>Convenio Emisora Comunitaria.</t>
  </si>
  <si>
    <t>Comunicación con el ciudadano</t>
  </si>
  <si>
    <t>Sistema de Informacion geografica del Municipio de Nobsa</t>
  </si>
  <si>
    <t>Banco de proyectos</t>
  </si>
  <si>
    <t>Sistema de Información</t>
  </si>
  <si>
    <t>Capacitacion a funcionarios.</t>
  </si>
  <si>
    <t>Reestructuracion Administrativa.</t>
  </si>
  <si>
    <t>Modernizacion de equipos de computo</t>
  </si>
  <si>
    <t>Normalizacion del servicio de energia y Cableado  Estructurado</t>
  </si>
  <si>
    <t>Modernización institucional</t>
  </si>
  <si>
    <t>Certificación en Calidad e Implementación de Modelo MECI</t>
  </si>
  <si>
    <t>Reconocimiento a la Nobsanidad</t>
  </si>
  <si>
    <t>Dia del Campesino</t>
  </si>
  <si>
    <t>Reconocimiento e integración como promoción del trabajo comunitario:</t>
  </si>
  <si>
    <t>Fortalecimiento a organizaciones sociales y comunales.</t>
  </si>
  <si>
    <t>Consejo de la Juventud.</t>
  </si>
  <si>
    <t>Programa de  capacitacion a lideres comunales y sociales.</t>
  </si>
  <si>
    <t>Capacitación, sensibilización y fortalecimiento de líderes y organizaciones sociales y comunales:</t>
  </si>
  <si>
    <t>Deporte  para todos.</t>
  </si>
  <si>
    <t>Proteccion patrimonio Cultural, mantenimiento y restauracion Iglesia central.</t>
  </si>
  <si>
    <t>Escuelas de formacion Cultural (otros).</t>
  </si>
  <si>
    <t>Edad para la actividad.</t>
  </si>
  <si>
    <t>Acciones ludicas y recreativas para los adultos mayores.</t>
  </si>
  <si>
    <t>JUAN LUIS LONDONO</t>
  </si>
  <si>
    <t>Salud y vida</t>
  </si>
  <si>
    <t>Mejoramiento Nutricional:</t>
  </si>
  <si>
    <t>Tejedores de esperanza.</t>
  </si>
  <si>
    <t>Convenio Hermanas de la Caridad Nazareth.</t>
  </si>
  <si>
    <t>Convenio Fundacion Amanecer.</t>
  </si>
  <si>
    <t>Juntos (Familias en  Accion)</t>
  </si>
  <si>
    <t>Atencion a desplazados</t>
  </si>
  <si>
    <t>Proyecto San Eugenio (Comedor comunitario)</t>
  </si>
  <si>
    <t>PEPE SAM (PROSPERAR)</t>
  </si>
  <si>
    <t>Apoyo a pobres y vulnerables en situción calamitosa. (inhumación de cadaveres)</t>
  </si>
  <si>
    <t xml:space="preserve">Redes de Servicios </t>
  </si>
  <si>
    <t>SISBEN.</t>
  </si>
  <si>
    <t>Identificación de Vulnerables</t>
  </si>
  <si>
    <t>Identificación de Vulnerables:</t>
  </si>
  <si>
    <t>Escuelas de Formacion Artistica y Cultural (niños y adolescentes).</t>
  </si>
  <si>
    <t>Fortalecimiento Ludoteca Municipal.</t>
  </si>
  <si>
    <t>Alternativas para el uso adecuado del tiempo libre para ninos y adolecentes.</t>
  </si>
  <si>
    <t>Construcción Jardin infantil Nobsanitos Convenio COMFABOY</t>
  </si>
  <si>
    <t>Derecho a la identidad</t>
  </si>
  <si>
    <t>Desayunos infantiles.</t>
  </si>
  <si>
    <t>Fortalecimiento Hogares de bienestar.</t>
  </si>
  <si>
    <t>Transporte Escolar.</t>
  </si>
  <si>
    <t>Clubes Juveniles y Prejuveniles.</t>
  </si>
  <si>
    <t>Alianzas para la protección:</t>
  </si>
  <si>
    <t>Prevencion y orientacion en prevencion de la farmacodependencia.</t>
  </si>
  <si>
    <t>Prevencion y orientacion en violencia intrafamiliar</t>
  </si>
  <si>
    <t>Prevencion y orientacion en el  abuso sexual.</t>
  </si>
  <si>
    <t>Psicoorientacion escolar.</t>
  </si>
  <si>
    <t>Fortalecimiento de espacios y mecanismos de prevención y atención de violencia intrafamiliar y delitos sexuales:</t>
  </si>
  <si>
    <t>Fortalecimiento de la Salud Pública.</t>
  </si>
  <si>
    <t>Ampliacion de Cobertura Regimen subsidiado</t>
  </si>
  <si>
    <t>Interventoria Regimen subsidiado</t>
  </si>
  <si>
    <t>Aseguramiento efectivo</t>
  </si>
  <si>
    <t>Comercio electrónico.</t>
  </si>
  <si>
    <t>Sistema de información Institucional</t>
  </si>
  <si>
    <t>Convenios SENA - Colegios</t>
  </si>
  <si>
    <t>Articulación entre el sector educativo y sector productivo</t>
  </si>
  <si>
    <t>Escuela para todos</t>
  </si>
  <si>
    <t>Educación para jóvenes y adultos</t>
  </si>
  <si>
    <t>Acceso y permanencia para todos y todas</t>
  </si>
  <si>
    <t>Gestión de la certificación de la calidad de las instituciones  educativas.</t>
  </si>
  <si>
    <t>Mejoramiento profesional de Maestros y Maestras</t>
  </si>
  <si>
    <t>Transformación pedagógica de las instituciones educativas</t>
  </si>
  <si>
    <t xml:space="preserve">Renovación Pedagógica de los PEI y profundización de la democracia escolar </t>
  </si>
  <si>
    <t>Construcción, ampliación y mejoramiento de establecimientos educativos</t>
  </si>
  <si>
    <t>Certificación en educación.</t>
  </si>
  <si>
    <t>Gestión educativa competitiva, humana, eficaz y sostenible</t>
  </si>
  <si>
    <t>Cobro efectivo.</t>
  </si>
  <si>
    <t>Actualización estatuto de rentas</t>
  </si>
  <si>
    <t>Actualización catastral</t>
  </si>
  <si>
    <t xml:space="preserve">Recaudo justo y efectivo </t>
  </si>
  <si>
    <t>Nobsa se toma a Colombia</t>
  </si>
  <si>
    <t>Nobsa Navideño</t>
  </si>
  <si>
    <t>Nobsa, un municipio que  promete.</t>
  </si>
  <si>
    <t>Cofinanciación de proyectos</t>
  </si>
  <si>
    <t>Promoción de inversión</t>
  </si>
  <si>
    <t>Nobsa ex tremenda</t>
  </si>
  <si>
    <t>Festival de la vid y el vino</t>
  </si>
  <si>
    <t>Festival cultural de la breva</t>
  </si>
  <si>
    <t>Día mundial de la ruana</t>
  </si>
  <si>
    <t>Ferias artesanales nacionales e internacionales</t>
  </si>
  <si>
    <t>Fiestas San Geronimo</t>
  </si>
  <si>
    <t>Fiestas de San Roque</t>
  </si>
  <si>
    <t>Fiestas de la Virgen del Carmen</t>
  </si>
  <si>
    <t>Festival Vallenato</t>
  </si>
  <si>
    <t>Fiestas Nazareth</t>
  </si>
  <si>
    <t xml:space="preserve">Afianzamiento del las tradiciones y ferias municipales. </t>
  </si>
  <si>
    <t>Afianzando la promoción del Municipio</t>
  </si>
  <si>
    <t>Gestión de enlaces y contactos para créditos blandos para empresarios.</t>
  </si>
  <si>
    <t>Gestión de medios de financiación</t>
  </si>
  <si>
    <t>Promoción de la cultura de la calidad.</t>
  </si>
  <si>
    <t>Desarrollo Agropecuario e Interventoria</t>
  </si>
  <si>
    <t>Fortalecimiento de procesos asociativos.</t>
  </si>
  <si>
    <t>Consolidación de planes de negocio en ejecución.</t>
  </si>
  <si>
    <t>Fortalecimiento empresarial</t>
  </si>
  <si>
    <t>Financiación de planes de negocio promisorios.</t>
  </si>
  <si>
    <t>Capacitación en emprendimiento,  empresarismo y planes de negocios.</t>
  </si>
  <si>
    <t>Promoción  del emprendimiento</t>
  </si>
  <si>
    <t>Plan padrino.</t>
  </si>
  <si>
    <t>Ventanilla única  de empleo (convenio SENA).</t>
  </si>
  <si>
    <t>Observatorio local de mercado de trabajo</t>
  </si>
  <si>
    <t>Mercado de trabajo</t>
  </si>
  <si>
    <t>Estudio de Competitividad de Nobsa</t>
  </si>
  <si>
    <t>Estudio y Diseño de estrategias de productividad y competitividad</t>
  </si>
  <si>
    <t>Concejo intersectorial  Nobsa Competitiva.</t>
  </si>
  <si>
    <t>Creación de la unidad administrativa para el desarrollo empresarial.</t>
  </si>
  <si>
    <t>Institucionalidad para la productividad y competitividad</t>
  </si>
  <si>
    <t>Elaboración y concertación del Manual de Convivencia</t>
  </si>
  <si>
    <t>Afianzamiento de la identidad Nobsana.</t>
  </si>
  <si>
    <t xml:space="preserve">Implementación de la  cátedra de la Nobsanidad. </t>
  </si>
  <si>
    <t xml:space="preserve">Cultura ciudadana </t>
  </si>
  <si>
    <t>Instalar y/o habilitar cámaras de seguimiento (fondo de Seguridad)</t>
  </si>
  <si>
    <t>ALIMENTACIÓN PARA LAS PERSONAS DETENIDAS</t>
  </si>
  <si>
    <t>Apoyo a instituciones de justicia.</t>
  </si>
  <si>
    <t>Seguridad y vigilancia del equipamiento municipal.</t>
  </si>
  <si>
    <t>Fortalecimiento del CLOPAD</t>
  </si>
  <si>
    <t>Organizar implementar y operar frentes comunitarios de seguridad (frentes de seguridad).</t>
  </si>
  <si>
    <t>Fortalecimiento de la fuerza Publica (Fondo de seguridad)</t>
  </si>
  <si>
    <t>Construcción, adecuación y mantenimiento de atractivos turísticos</t>
  </si>
  <si>
    <t>Construcción, adecuación y mantenimiento de escenarios y espacios culturales.</t>
  </si>
  <si>
    <t>Construcción, adecuación y mantenimiento de polideportivos, parques infantiles y espacios para practicas deportivas y recreativas</t>
  </si>
  <si>
    <t>Adquisicion de predios para parques infantiles y espacios para practicas deportivas y recreativas</t>
  </si>
  <si>
    <t>Construcción, adecuación, mantenimiento y dotación de salones Culturales</t>
  </si>
  <si>
    <t>Construcción, adecuación y mantenimiento de obras de equipamento municipal</t>
  </si>
  <si>
    <t>Adquisicion de predios para obras de equipamento municipal salones culturales</t>
  </si>
  <si>
    <t>Estudios y diseños para obras de equipamiento municipal adicional</t>
  </si>
  <si>
    <t>Equipamiento eficiente</t>
  </si>
  <si>
    <t>RELLENO SANITARIO</t>
  </si>
  <si>
    <t>Implementación de la primera fase del Plan Maestro de Alcantarillado - PMAA</t>
  </si>
  <si>
    <t xml:space="preserve">Implementación de la primera fase del Plan Maestro de Acueducto </t>
  </si>
  <si>
    <t>AGUA POTABLE, SANEAMIENTO BASICO Y ASEO</t>
  </si>
  <si>
    <t>ELABORACIÓN Y ACTUALIZACIÓN DEL PLAN DE ORDENAMIENTO TERRITO</t>
  </si>
  <si>
    <t>PROGRAMA:  Gestión educativa competitiva, humana, eficaz y sostenible</t>
  </si>
  <si>
    <t>PROGRAMA.  Articulación entre el sector educativo y sector productivo</t>
  </si>
  <si>
    <t>PROGRAMA:  Afianzando la promoción del Municipio</t>
  </si>
  <si>
    <t>PROGRAMA: Nobsa toda una Cultura.</t>
  </si>
  <si>
    <t>PROGRAMA:  Nobsa se toma a Colombia</t>
  </si>
  <si>
    <t>PROGRAMA:  Movilidad eficiente</t>
  </si>
  <si>
    <t>PROGRAMA:  Nobsa toda una Cultura.</t>
  </si>
  <si>
    <t>PROGRAMA:  Información y acción VIS</t>
  </si>
  <si>
    <t>PROGRAMA:  Mejoramientos de vivienda urbana y rural</t>
  </si>
  <si>
    <t>PROGRAMA:  Convivencia y Seguridad</t>
  </si>
  <si>
    <t>PROGRAMA:  Cultura para el manejo de conflictos:</t>
  </si>
  <si>
    <t>PROGRAMA:   Mejoramientos de vivienda urbana y rural</t>
  </si>
  <si>
    <t>PROGRAMA:  Equipamiento eficiente</t>
  </si>
  <si>
    <t>PROGRAMA:   Equipamiento eficiente</t>
  </si>
  <si>
    <t xml:space="preserve">PROGRAMA:  Cultura ciudadana </t>
  </si>
  <si>
    <t>PROGRAMA:   Institucionalidad para la productividad y competitividad</t>
  </si>
  <si>
    <t>PROGRAMA:  Estudio y Diseño de estrategias de productividad y competitividad</t>
  </si>
  <si>
    <t>PROGRAMA:  Mercado de trabajo</t>
  </si>
  <si>
    <t>PROGRAMA:  Promoción  del emprendimiento</t>
  </si>
  <si>
    <t>PROGRAMA:  Fortalecimiento empresarial</t>
  </si>
  <si>
    <t>PROGRAMA:  Promoción de inversión</t>
  </si>
  <si>
    <t xml:space="preserve">PROGRAMA:  Recaudo justo y efectivo </t>
  </si>
  <si>
    <t>PROGRAMA:  Fortalecimiento de espacios y mecanismos de prevención y atención de violencia intrafamiliar y delitos sexuales:</t>
  </si>
  <si>
    <t>PROGRAMA:   Alianzas para la protección:</t>
  </si>
  <si>
    <t xml:space="preserve">PROGRAMA:   Redes de Servicios </t>
  </si>
  <si>
    <t>PROGRAMA:  Mejoramiento Nutricional:</t>
  </si>
  <si>
    <t>PROGRAMA:  Acciones ludicas y recreativas para los adultos mayores.</t>
  </si>
  <si>
    <t>PROGRAMA:   Capacitación, sensibilización y fortalecimiento de líderes y organizaciones sociales y comunales:</t>
  </si>
  <si>
    <t>PROGRAMA:  Reconocimiento e integración como promoción del trabajo comunitario:</t>
  </si>
  <si>
    <t>PROGRAMA:   Modernización institucional</t>
  </si>
  <si>
    <t>PROGRAMA:   Sistema de Información</t>
  </si>
  <si>
    <t>PROGRAMA.  Comunicación con el ciudadano</t>
  </si>
  <si>
    <t>PROGRAMA:  Especialización para la prestación de los servicios</t>
  </si>
  <si>
    <t>PROGRAMA:  Gestión Pública con participación social</t>
  </si>
  <si>
    <t>SECTOR AGROPECUARIO Y MEDIO AMBIENTE</t>
  </si>
  <si>
    <t>SECTOR GRUPOS VULNERABLES</t>
  </si>
  <si>
    <t>SECTOR FORTALECIMIENTO INSTITUCIONAL</t>
  </si>
  <si>
    <t>SECTOR PROMOCION DEL DESARROLLO</t>
  </si>
  <si>
    <t>SECTOR DESARROLLO COMUNITARIO</t>
  </si>
  <si>
    <t>SECTOR SERVICIOS PUBLICOS</t>
  </si>
  <si>
    <t>PROGRAMA:  Planeación Ambiental</t>
  </si>
  <si>
    <t>PROGRAMA:  Implementación de Acciones de conservación y recuperación.</t>
  </si>
  <si>
    <t>Plan Básico de Ordenamiento Territorial</t>
  </si>
  <si>
    <t>PROGRAMA:   Identificación de Vulnerables:</t>
  </si>
  <si>
    <t>Adquisición predios para construcción instituciones  Educativas.</t>
  </si>
  <si>
    <t>Estudios, diseños e interventorias de instituciones  Educativas.</t>
  </si>
  <si>
    <t>Compra de predios para adecuaci{on y construcción de vías</t>
  </si>
  <si>
    <t>Promoción Turistica del municipio</t>
  </si>
  <si>
    <t>TOTAL INVERSION</t>
  </si>
  <si>
    <t>FORZOSA INVERSION</t>
  </si>
  <si>
    <t>LIBRE INVERSION</t>
  </si>
  <si>
    <t>ANEXO 7:     INVERSION CON INGRESOS CORRIENTES DE LIBRE DESTINACION</t>
  </si>
  <si>
    <t>Inspecciones de Policía y comisarias</t>
  </si>
  <si>
    <t>POR EL CUAL SE FIJA EL PRESUPUESTO DE INGRESOS Y RECURSOS DE CAPITAL Y APROPIACIONES PARA GASTOS DE FUNCIONAMIENTO E INVERSIONES DEL MUNICIPIO DE NOBSA, PARA LA VIGENCIA FISCAL DEL 2010.</t>
  </si>
  <si>
    <t>Sobretasa Bomberil (1%  Industria y Comercio)</t>
  </si>
  <si>
    <t>Venta de Bienes y Servicios</t>
  </si>
  <si>
    <t>Matricula oficial</t>
  </si>
  <si>
    <t>SGP EDUCACION</t>
  </si>
  <si>
    <t>SGP ALIMENTACION ESCOLAR</t>
  </si>
  <si>
    <t>Vigencia futura Régimen subsidiado ampliación</t>
  </si>
  <si>
    <t>Régimen subsidiado  ampliación</t>
  </si>
  <si>
    <t>Interventoria Regimen Susidiado</t>
  </si>
  <si>
    <t>Vigencia futura Interventoria Régimen subsidiado</t>
  </si>
  <si>
    <t>Superintendencia de Salud</t>
  </si>
  <si>
    <t>OTROS INGRESOS SALUD</t>
  </si>
  <si>
    <t>LIBRE DESTINACION</t>
  </si>
  <si>
    <t>SGP AGUA POTABLE Y SANEAMIENTO BASICO</t>
  </si>
  <si>
    <t>SGP DEPORTE</t>
  </si>
  <si>
    <t>SGP CULTURA</t>
  </si>
  <si>
    <t>SGP SECTOR AGUA POTABLE Y SANEAMIENTO BÁSICO</t>
  </si>
  <si>
    <t>MARCO FISCAL A MEDIANO PLAZO AÑOS 2010 -2019</t>
  </si>
  <si>
    <t>CUADRO ANEXO 1:  PROYECCION DE INGRESOS Y GASTOS 2.010-2.019</t>
  </si>
  <si>
    <t>AÑO 2019</t>
  </si>
  <si>
    <t>PROYECCION DE GASTOS  2010 - 2019</t>
  </si>
  <si>
    <t>Venta de Bienes y servicios</t>
  </si>
  <si>
    <t>CUADRO ANEXO 6:   INGRESOS CORRIENTES LIBRE DESTINACION 2.010</t>
  </si>
  <si>
    <t>Seguridad Industrial</t>
  </si>
  <si>
    <t>Reforestación 1%</t>
  </si>
  <si>
    <t>Adquisición de áreas de interés para acueductos 1%</t>
  </si>
  <si>
    <t>Vivienda 5%</t>
  </si>
  <si>
    <t>RECURSOS DE CAPITAL (RENDIMIENTOS FINANCIEROS SGP)</t>
  </si>
  <si>
    <t>Rendimientos Financieros provenientes de recursos de SGP</t>
  </si>
  <si>
    <t>Vigencia futura régimen subsidiado continuidad Res 3673/2009</t>
  </si>
  <si>
    <t>Vigencia futura régimen subsidiado continuidad Res 3822/2008</t>
  </si>
  <si>
    <t>Reemplazo vacaciones</t>
  </si>
  <si>
    <t>INVERSION CON RENTAS DE DESTINACION ESPECIFICA</t>
  </si>
  <si>
    <t>Inversión con Rendimiento s Financieros SGP</t>
  </si>
  <si>
    <t>CUADRO ANEXO 2: SUPERAVIT PRIMARIO VIGENCIAS 2.010 - 2.019</t>
  </si>
  <si>
    <t>CUADRO ANEXO 3: CAPACIDAD DE ENDEUDAMIENTO  VIGENCIAS 2.010 - 2.019</t>
  </si>
  <si>
    <t>Vigencia Futura Plan Departamental de aguas</t>
  </si>
  <si>
    <t>Vigencia Futura Recursos del departamento</t>
  </si>
  <si>
    <t>INVERSION REGALIAS</t>
  </si>
  <si>
    <t>Inversión Estampilla Procultura</t>
  </si>
  <si>
    <t>TOTAL EGRESOS PARA LA VIGENCIA FISCAL DE 2010</t>
  </si>
  <si>
    <t>TOTAL INGRESOS PARA LA VIGENCIA FISCAL DE 2.010</t>
  </si>
  <si>
    <t>INVERSION CON RENDIMIENTOS FINANCIEROS SGP</t>
  </si>
  <si>
    <t>OSCAR EDUARDO TEATINO VARGAS</t>
  </si>
  <si>
    <t>PROYECCION GASTOS DE FUNCIONAMIENTO 2010</t>
  </si>
  <si>
    <t xml:space="preserve">CUADRO ANEXO 5:    </t>
  </si>
  <si>
    <t>PROYECCION GASTOS GENERALES ADMINISTRACION CENTRAL VIGENCIA 2010</t>
  </si>
  <si>
    <t>Vigencia futura Transformación parciales s/g Acuerdo 06 del 5/04/2009</t>
  </si>
  <si>
    <r>
      <t xml:space="preserve">ARTICULO PRIMERO:  </t>
    </r>
    <r>
      <rPr>
        <sz val="11"/>
        <rFont val="Arial"/>
        <family val="2"/>
      </rPr>
      <t>Fijense los cómputos del Presupuesto de Ingresos y Recursos de Capital del Tesoro Municipal, para la vigencia fiscal del 1o. de enero al 31 de diciembre de 2010,  en la suma de        ONCE MIL CINCUENTA Y SIETE MILLONES NOVECIENTOS SETENTA Y OCHO MIL CIENTO CINCO PESOS CON SESENTA Y SIETE CENTAVOS MONEDA LEGAL ($11.057.978.105,67) , según el siguiente detalle del presupuesto de Rentas y recursos de capital para el 2010, así:</t>
    </r>
  </si>
  <si>
    <r>
      <t>ARTICULO SEGUNDO</t>
    </r>
    <r>
      <rPr>
        <sz val="11"/>
        <rFont val="Arial"/>
        <family val="2"/>
      </rPr>
      <t>:  Apropiese para atender los Gastos de Funcionamiento e Inversión del presupuesto General  del Municipio, para la vigencia fiscal del 1o. de enero al 31 de diciembre de 2009,  en la suma de        ONCE MIL CINCUENTA Y SIETE MILLONES NOVECIENTOS SETENTA Y OCHO MIL CIENTO CINCO PESOS CON SESENTA Y SIETE CENTAVOS MONEDA LEGAL ($11.057.978.105,67) , según el siguiente detalle del presupuesto de Gastos e Inversión  para el 2010, así:</t>
    </r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</si>
</sst>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mmmm\ d\,\ yyyy"/>
    <numFmt numFmtId="187" formatCode="#,##0.0"/>
    <numFmt numFmtId="188" formatCode="0.0"/>
    <numFmt numFmtId="189" formatCode="#,#00.00;\(#,#00.00\)"/>
    <numFmt numFmtId="190" formatCode="_ * #,##0_ ;_ * \-#,##0_ ;_ * &quot;-&quot;??_ ;_ @_ "/>
    <numFmt numFmtId="191" formatCode="_(* #,##0_);_(* \(#,##0\);_(* &quot;-&quot;??_);_(@_)"/>
    <numFmt numFmtId="192" formatCode="#,##0.00_ ;\-#,##0.00\ "/>
    <numFmt numFmtId="193" formatCode="#,##0.00;[Red]#,##0.00"/>
  </numFmts>
  <fonts count="81">
    <font>
      <sz val="10"/>
      <color indexed="8"/>
      <name val="MS Sans Serif"/>
      <family val="0"/>
    </font>
    <font>
      <sz val="11"/>
      <color indexed="8"/>
      <name val="Arial"/>
      <family val="0"/>
    </font>
    <font>
      <sz val="8"/>
      <color indexed="8"/>
      <name val="Arial"/>
      <family val="0"/>
    </font>
    <font>
      <u val="single"/>
      <sz val="9"/>
      <color indexed="8"/>
      <name val="Arial"/>
      <family val="2"/>
    </font>
    <font>
      <sz val="8"/>
      <name val="MS Sans Serif"/>
      <family val="2"/>
    </font>
    <font>
      <b/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sz val="6"/>
      <color indexed="8"/>
      <name val="Times New Roman"/>
      <family val="1"/>
    </font>
    <font>
      <sz val="8"/>
      <color indexed="8"/>
      <name val="MS Sans Serif"/>
      <family val="2"/>
    </font>
    <font>
      <sz val="7"/>
      <color indexed="8"/>
      <name val="MS Sans Serif"/>
      <family val="2"/>
    </font>
    <font>
      <b/>
      <sz val="7"/>
      <name val="Arial"/>
      <family val="2"/>
    </font>
    <font>
      <b/>
      <sz val="8"/>
      <color indexed="8"/>
      <name val="Times New Roman"/>
      <family val="1"/>
    </font>
    <font>
      <b/>
      <sz val="7"/>
      <color indexed="8"/>
      <name val="MS Sans Serif"/>
      <family val="2"/>
    </font>
    <font>
      <b/>
      <sz val="8"/>
      <color indexed="8"/>
      <name val="MS Sans Serif"/>
      <family val="2"/>
    </font>
    <font>
      <sz val="8"/>
      <color indexed="8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sz val="12"/>
      <name val="Arial"/>
      <family val="2"/>
    </font>
    <font>
      <sz val="9"/>
      <color indexed="12"/>
      <name val="Arial"/>
      <family val="2"/>
    </font>
    <font>
      <b/>
      <i/>
      <sz val="9"/>
      <color indexed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8"/>
      <name val="MS Sans Serif"/>
      <family val="2"/>
    </font>
    <font>
      <b/>
      <i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0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1" fillId="30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185" fontId="3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72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3" fillId="0" borderId="0" applyFont="0" applyFill="0" applyBorder="0" applyAlignment="0" applyProtection="0"/>
    <xf numFmtId="0" fontId="73" fillId="21" borderId="5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69" fillId="0" borderId="8" applyNumberFormat="0" applyFill="0" applyAlignment="0" applyProtection="0"/>
    <xf numFmtId="0" fontId="79" fillId="0" borderId="9" applyNumberFormat="0" applyFill="0" applyAlignment="0" applyProtection="0"/>
  </cellStyleXfs>
  <cellXfs count="410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0" fontId="6" fillId="0" borderId="10" xfId="0" applyFont="1" applyBorder="1" applyAlignment="1">
      <alignment/>
    </xf>
    <xf numFmtId="0" fontId="5" fillId="0" borderId="12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wrapText="1"/>
    </xf>
    <xf numFmtId="4" fontId="9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4" fontId="11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" fontId="11" fillId="0" borderId="0" xfId="0" applyNumberFormat="1" applyFont="1" applyAlignment="1">
      <alignment/>
    </xf>
    <xf numFmtId="0" fontId="11" fillId="0" borderId="0" xfId="0" applyFont="1" applyFill="1" applyAlignment="1">
      <alignment horizontal="left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11" fillId="0" borderId="11" xfId="0" applyFont="1" applyFill="1" applyBorder="1" applyAlignment="1">
      <alignment horizontal="left" wrapText="1"/>
    </xf>
    <xf numFmtId="4" fontId="11" fillId="0" borderId="10" xfId="0" applyNumberFormat="1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5" xfId="0" applyFont="1" applyFill="1" applyBorder="1" applyAlignment="1">
      <alignment horizontal="left" wrapText="1"/>
    </xf>
    <xf numFmtId="0" fontId="11" fillId="0" borderId="16" xfId="0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4" fontId="13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17" xfId="0" applyNumberFormat="1" applyFont="1" applyBorder="1" applyAlignment="1">
      <alignment/>
    </xf>
    <xf numFmtId="4" fontId="11" fillId="0" borderId="18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5" fillId="0" borderId="19" xfId="0" applyNumberFormat="1" applyFont="1" applyFill="1" applyBorder="1" applyAlignment="1">
      <alignment/>
    </xf>
    <xf numFmtId="4" fontId="5" fillId="0" borderId="20" xfId="0" applyNumberFormat="1" applyFont="1" applyFill="1" applyBorder="1" applyAlignment="1">
      <alignment/>
    </xf>
    <xf numFmtId="4" fontId="11" fillId="0" borderId="17" xfId="0" applyNumberFormat="1" applyFont="1" applyFill="1" applyBorder="1" applyAlignment="1">
      <alignment/>
    </xf>
    <xf numFmtId="0" fontId="7" fillId="0" borderId="10" xfId="0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0" fontId="13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4" fontId="6" fillId="0" borderId="10" xfId="0" applyNumberFormat="1" applyFont="1" applyBorder="1" applyAlignment="1">
      <alignment horizontal="justify" vertical="top" wrapText="1"/>
    </xf>
    <xf numFmtId="4" fontId="6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12" fillId="0" borderId="10" xfId="0" applyFont="1" applyBorder="1" applyAlignment="1">
      <alignment horizontal="justify" vertical="top" wrapText="1"/>
    </xf>
    <xf numFmtId="4" fontId="12" fillId="0" borderId="10" xfId="0" applyNumberFormat="1" applyFont="1" applyBorder="1" applyAlignment="1">
      <alignment horizontal="justify" vertical="top" wrapText="1"/>
    </xf>
    <xf numFmtId="0" fontId="8" fillId="0" borderId="14" xfId="0" applyFont="1" applyBorder="1" applyAlignment="1">
      <alignment/>
    </xf>
    <xf numFmtId="188" fontId="5" fillId="0" borderId="0" xfId="0" applyNumberFormat="1" applyFont="1" applyFill="1" applyBorder="1" applyAlignment="1">
      <alignment horizontal="center"/>
    </xf>
    <xf numFmtId="4" fontId="5" fillId="0" borderId="21" xfId="0" applyNumberFormat="1" applyFont="1" applyBorder="1" applyAlignment="1">
      <alignment/>
    </xf>
    <xf numFmtId="4" fontId="11" fillId="0" borderId="21" xfId="0" applyNumberFormat="1" applyFont="1" applyBorder="1" applyAlignment="1">
      <alignment/>
    </xf>
    <xf numFmtId="4" fontId="11" fillId="0" borderId="14" xfId="0" applyNumberFormat="1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8" fillId="0" borderId="20" xfId="0" applyFont="1" applyBorder="1" applyAlignment="1">
      <alignment/>
    </xf>
    <xf numFmtId="0" fontId="6" fillId="0" borderId="22" xfId="0" applyFont="1" applyBorder="1" applyAlignment="1">
      <alignment/>
    </xf>
    <xf numFmtId="4" fontId="11" fillId="0" borderId="19" xfId="0" applyNumberFormat="1" applyFont="1" applyBorder="1" applyAlignment="1">
      <alignment/>
    </xf>
    <xf numFmtId="4" fontId="11" fillId="0" borderId="22" xfId="0" applyNumberFormat="1" applyFont="1" applyBorder="1" applyAlignment="1">
      <alignment/>
    </xf>
    <xf numFmtId="4" fontId="17" fillId="0" borderId="17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23" xfId="0" applyNumberFormat="1" applyFont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/>
    </xf>
    <xf numFmtId="3" fontId="11" fillId="0" borderId="22" xfId="0" applyNumberFormat="1" applyFont="1" applyBorder="1" applyAlignment="1">
      <alignment vertical="center" wrapText="1"/>
    </xf>
    <xf numFmtId="0" fontId="8" fillId="0" borderId="17" xfId="0" applyFont="1" applyBorder="1" applyAlignment="1">
      <alignment/>
    </xf>
    <xf numFmtId="4" fontId="8" fillId="0" borderId="1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/>
    </xf>
    <xf numFmtId="0" fontId="5" fillId="0" borderId="17" xfId="0" applyFont="1" applyBorder="1" applyAlignment="1">
      <alignment horizontal="center"/>
    </xf>
    <xf numFmtId="4" fontId="7" fillId="0" borderId="24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/>
    </xf>
    <xf numFmtId="0" fontId="6" fillId="0" borderId="25" xfId="0" applyFont="1" applyBorder="1" applyAlignment="1">
      <alignment/>
    </xf>
    <xf numFmtId="4" fontId="6" fillId="0" borderId="19" xfId="0" applyNumberFormat="1" applyFont="1" applyBorder="1" applyAlignment="1">
      <alignment/>
    </xf>
    <xf numFmtId="4" fontId="8" fillId="0" borderId="19" xfId="0" applyNumberFormat="1" applyFont="1" applyBorder="1" applyAlignment="1">
      <alignment/>
    </xf>
    <xf numFmtId="4" fontId="11" fillId="0" borderId="22" xfId="0" applyNumberFormat="1" applyFont="1" applyFill="1" applyBorder="1" applyAlignment="1">
      <alignment/>
    </xf>
    <xf numFmtId="4" fontId="11" fillId="0" borderId="21" xfId="0" applyNumberFormat="1" applyFont="1" applyFill="1" applyBorder="1" applyAlignment="1">
      <alignment/>
    </xf>
    <xf numFmtId="4" fontId="6" fillId="0" borderId="22" xfId="0" applyNumberFormat="1" applyFont="1" applyFill="1" applyBorder="1" applyAlignment="1">
      <alignment/>
    </xf>
    <xf numFmtId="4" fontId="8" fillId="0" borderId="22" xfId="0" applyNumberFormat="1" applyFont="1" applyFill="1" applyBorder="1" applyAlignment="1">
      <alignment/>
    </xf>
    <xf numFmtId="4" fontId="8" fillId="0" borderId="22" xfId="0" applyNumberFormat="1" applyFont="1" applyBorder="1" applyAlignment="1">
      <alignment/>
    </xf>
    <xf numFmtId="0" fontId="8" fillId="33" borderId="21" xfId="0" applyFont="1" applyFill="1" applyBorder="1" applyAlignment="1">
      <alignment horizontal="center"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4" fontId="11" fillId="33" borderId="20" xfId="0" applyNumberFormat="1" applyFont="1" applyFill="1" applyBorder="1" applyAlignment="1">
      <alignment/>
    </xf>
    <xf numFmtId="4" fontId="11" fillId="33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4" fontId="13" fillId="0" borderId="17" xfId="0" applyNumberFormat="1" applyFont="1" applyFill="1" applyBorder="1" applyAlignment="1">
      <alignment/>
    </xf>
    <xf numFmtId="4" fontId="11" fillId="0" borderId="10" xfId="0" applyNumberFormat="1" applyFont="1" applyFill="1" applyBorder="1" applyAlignment="1">
      <alignment/>
    </xf>
    <xf numFmtId="4" fontId="11" fillId="0" borderId="2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0" fontId="11" fillId="0" borderId="17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4" fontId="11" fillId="0" borderId="14" xfId="0" applyNumberFormat="1" applyFont="1" applyFill="1" applyBorder="1" applyAlignment="1">
      <alignment/>
    </xf>
    <xf numFmtId="4" fontId="5" fillId="0" borderId="14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4" fontId="11" fillId="0" borderId="0" xfId="0" applyNumberFormat="1" applyFont="1" applyFill="1" applyAlignment="1">
      <alignment/>
    </xf>
    <xf numFmtId="3" fontId="11" fillId="0" borderId="22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4" fontId="6" fillId="0" borderId="19" xfId="0" applyNumberFormat="1" applyFont="1" applyFill="1" applyBorder="1" applyAlignment="1">
      <alignment/>
    </xf>
    <xf numFmtId="4" fontId="8" fillId="0" borderId="19" xfId="0" applyNumberFormat="1" applyFont="1" applyFill="1" applyBorder="1" applyAlignment="1">
      <alignment/>
    </xf>
    <xf numFmtId="0" fontId="5" fillId="0" borderId="30" xfId="0" applyFont="1" applyFill="1" applyBorder="1" applyAlignment="1">
      <alignment horizontal="center"/>
    </xf>
    <xf numFmtId="4" fontId="5" fillId="0" borderId="31" xfId="0" applyNumberFormat="1" applyFont="1" applyBorder="1" applyAlignment="1">
      <alignment horizontal="center"/>
    </xf>
    <xf numFmtId="4" fontId="5" fillId="0" borderId="32" xfId="0" applyNumberFormat="1" applyFont="1" applyBorder="1" applyAlignment="1">
      <alignment horizontal="center"/>
    </xf>
    <xf numFmtId="0" fontId="5" fillId="0" borderId="33" xfId="0" applyFont="1" applyFill="1" applyBorder="1" applyAlignment="1">
      <alignment horizontal="left" wrapText="1"/>
    </xf>
    <xf numFmtId="4" fontId="5" fillId="0" borderId="34" xfId="0" applyNumberFormat="1" applyFont="1" applyBorder="1" applyAlignment="1">
      <alignment/>
    </xf>
    <xf numFmtId="0" fontId="11" fillId="0" borderId="33" xfId="0" applyFont="1" applyFill="1" applyBorder="1" applyAlignment="1">
      <alignment horizontal="left" wrapText="1"/>
    </xf>
    <xf numFmtId="4" fontId="11" fillId="0" borderId="34" xfId="0" applyNumberFormat="1" applyFont="1" applyBorder="1" applyAlignment="1">
      <alignment/>
    </xf>
    <xf numFmtId="0" fontId="11" fillId="0" borderId="35" xfId="0" applyFont="1" applyFill="1" applyBorder="1" applyAlignment="1">
      <alignment horizontal="left" wrapText="1"/>
    </xf>
    <xf numFmtId="0" fontId="11" fillId="0" borderId="36" xfId="0" applyFont="1" applyBorder="1" applyAlignment="1">
      <alignment/>
    </xf>
    <xf numFmtId="0" fontId="11" fillId="0" borderId="37" xfId="0" applyFont="1" applyFill="1" applyBorder="1" applyAlignment="1">
      <alignment horizontal="left" wrapText="1"/>
    </xf>
    <xf numFmtId="0" fontId="11" fillId="0" borderId="38" xfId="0" applyFont="1" applyFill="1" applyBorder="1" applyAlignment="1">
      <alignment horizontal="left" wrapText="1"/>
    </xf>
    <xf numFmtId="4" fontId="11" fillId="0" borderId="39" xfId="0" applyNumberFormat="1" applyFont="1" applyFill="1" applyBorder="1" applyAlignment="1">
      <alignment/>
    </xf>
    <xf numFmtId="4" fontId="11" fillId="0" borderId="40" xfId="0" applyNumberFormat="1" applyFont="1" applyBorder="1" applyAlignment="1">
      <alignment/>
    </xf>
    <xf numFmtId="4" fontId="11" fillId="0" borderId="41" xfId="0" applyNumberFormat="1" applyFont="1" applyBorder="1" applyAlignment="1">
      <alignment/>
    </xf>
    <xf numFmtId="49" fontId="11" fillId="0" borderId="10" xfId="0" applyNumberFormat="1" applyFont="1" applyFill="1" applyBorder="1" applyAlignment="1">
      <alignment wrapText="1"/>
    </xf>
    <xf numFmtId="0" fontId="2" fillId="0" borderId="0" xfId="57" applyFont="1" applyFill="1" applyAlignment="1">
      <alignment horizontal="left"/>
      <protection/>
    </xf>
    <xf numFmtId="0" fontId="20" fillId="0" borderId="0" xfId="57" applyFont="1">
      <alignment/>
      <protection/>
    </xf>
    <xf numFmtId="10" fontId="21" fillId="0" borderId="0" xfId="57" applyNumberFormat="1" applyFont="1">
      <alignment/>
      <protection/>
    </xf>
    <xf numFmtId="0" fontId="20" fillId="0" borderId="0" xfId="57" applyFont="1" applyFill="1" applyAlignment="1">
      <alignment horizontal="left"/>
      <protection/>
    </xf>
    <xf numFmtId="0" fontId="8" fillId="0" borderId="42" xfId="57" applyFont="1" applyBorder="1" applyAlignment="1">
      <alignment horizontal="center" wrapText="1"/>
      <protection/>
    </xf>
    <xf numFmtId="0" fontId="8" fillId="0" borderId="43" xfId="57" applyFont="1" applyBorder="1" applyAlignment="1">
      <alignment horizontal="center" wrapText="1"/>
      <protection/>
    </xf>
    <xf numFmtId="10" fontId="22" fillId="0" borderId="43" xfId="57" applyNumberFormat="1" applyFont="1" applyBorder="1" applyAlignment="1">
      <alignment horizontal="center" wrapText="1"/>
      <protection/>
    </xf>
    <xf numFmtId="0" fontId="20" fillId="0" borderId="0" xfId="57" applyFont="1" applyAlignment="1">
      <alignment wrapText="1"/>
      <protection/>
    </xf>
    <xf numFmtId="0" fontId="23" fillId="0" borderId="44" xfId="57" applyFont="1" applyFill="1" applyBorder="1" applyAlignment="1">
      <alignment horizontal="left" wrapText="1"/>
      <protection/>
    </xf>
    <xf numFmtId="189" fontId="23" fillId="0" borderId="45" xfId="57" applyNumberFormat="1" applyFont="1" applyFill="1" applyBorder="1" applyAlignment="1">
      <alignment horizontal="right"/>
      <protection/>
    </xf>
    <xf numFmtId="189" fontId="23" fillId="0" borderId="46" xfId="57" applyNumberFormat="1" applyFont="1" applyFill="1" applyBorder="1" applyAlignment="1">
      <alignment horizontal="right"/>
      <protection/>
    </xf>
    <xf numFmtId="10" fontId="24" fillId="0" borderId="47" xfId="57" applyNumberFormat="1" applyFont="1" applyBorder="1">
      <alignment/>
      <protection/>
    </xf>
    <xf numFmtId="179" fontId="25" fillId="0" borderId="0" xfId="57" applyNumberFormat="1" applyFont="1">
      <alignment/>
      <protection/>
    </xf>
    <xf numFmtId="0" fontId="25" fillId="0" borderId="0" xfId="57" applyFont="1">
      <alignment/>
      <protection/>
    </xf>
    <xf numFmtId="0" fontId="23" fillId="0" borderId="33" xfId="57" applyFont="1" applyFill="1" applyBorder="1" applyAlignment="1">
      <alignment horizontal="left" wrapText="1"/>
      <protection/>
    </xf>
    <xf numFmtId="189" fontId="23" fillId="0" borderId="16" xfId="57" applyNumberFormat="1" applyFont="1" applyFill="1" applyBorder="1" applyAlignment="1">
      <alignment horizontal="right"/>
      <protection/>
    </xf>
    <xf numFmtId="189" fontId="23" fillId="0" borderId="48" xfId="57" applyNumberFormat="1" applyFont="1" applyFill="1" applyBorder="1" applyAlignment="1">
      <alignment horizontal="right"/>
      <protection/>
    </xf>
    <xf numFmtId="10" fontId="24" fillId="0" borderId="49" xfId="57" applyNumberFormat="1" applyFont="1" applyBorder="1">
      <alignment/>
      <protection/>
    </xf>
    <xf numFmtId="0" fontId="26" fillId="0" borderId="33" xfId="57" applyFont="1" applyFill="1" applyBorder="1" applyAlignment="1">
      <alignment horizontal="left" wrapText="1"/>
      <protection/>
    </xf>
    <xf numFmtId="43" fontId="26" fillId="0" borderId="16" xfId="50" applyFont="1" applyFill="1" applyBorder="1" applyAlignment="1">
      <alignment horizontal="right"/>
    </xf>
    <xf numFmtId="189" fontId="26" fillId="0" borderId="48" xfId="57" applyNumberFormat="1" applyFont="1" applyFill="1" applyBorder="1" applyAlignment="1">
      <alignment horizontal="right"/>
      <protection/>
    </xf>
    <xf numFmtId="43" fontId="23" fillId="0" borderId="16" xfId="50" applyFont="1" applyFill="1" applyBorder="1" applyAlignment="1">
      <alignment horizontal="right"/>
    </xf>
    <xf numFmtId="0" fontId="26" fillId="0" borderId="38" xfId="57" applyFont="1" applyFill="1" applyBorder="1" applyAlignment="1">
      <alignment horizontal="left" wrapText="1"/>
      <protection/>
    </xf>
    <xf numFmtId="43" fontId="26" fillId="0" borderId="50" xfId="50" applyFont="1" applyFill="1" applyBorder="1" applyAlignment="1">
      <alignment horizontal="right"/>
    </xf>
    <xf numFmtId="189" fontId="26" fillId="0" borderId="51" xfId="57" applyNumberFormat="1" applyFont="1" applyFill="1" applyBorder="1" applyAlignment="1">
      <alignment horizontal="right"/>
      <protection/>
    </xf>
    <xf numFmtId="10" fontId="24" fillId="0" borderId="52" xfId="57" applyNumberFormat="1" applyFont="1" applyBorder="1">
      <alignment/>
      <protection/>
    </xf>
    <xf numFmtId="0" fontId="12" fillId="0" borderId="0" xfId="55">
      <alignment/>
      <protection/>
    </xf>
    <xf numFmtId="0" fontId="12" fillId="0" borderId="0" xfId="54" applyAlignment="1">
      <alignment horizontal="justify" vertical="top" wrapText="1"/>
      <protection/>
    </xf>
    <xf numFmtId="4" fontId="5" fillId="0" borderId="0" xfId="54" applyNumberFormat="1" applyFont="1">
      <alignment/>
      <protection/>
    </xf>
    <xf numFmtId="4" fontId="11" fillId="0" borderId="0" xfId="54" applyNumberFormat="1" applyFont="1" applyAlignment="1">
      <alignment/>
      <protection/>
    </xf>
    <xf numFmtId="0" fontId="11" fillId="0" borderId="0" xfId="54" applyFont="1">
      <alignment/>
      <protection/>
    </xf>
    <xf numFmtId="4" fontId="5" fillId="0" borderId="0" xfId="55" applyNumberFormat="1" applyFont="1" applyFill="1" applyBorder="1">
      <alignment/>
      <protection/>
    </xf>
    <xf numFmtId="4" fontId="11" fillId="0" borderId="0" xfId="54" applyNumberFormat="1" applyFont="1">
      <alignment/>
      <protection/>
    </xf>
    <xf numFmtId="4" fontId="11" fillId="0" borderId="0" xfId="55" applyNumberFormat="1" applyFont="1" applyFill="1" applyBorder="1">
      <alignment/>
      <protection/>
    </xf>
    <xf numFmtId="4" fontId="7" fillId="0" borderId="0" xfId="54" applyNumberFormat="1" applyFont="1">
      <alignment/>
      <protection/>
    </xf>
    <xf numFmtId="0" fontId="11" fillId="0" borderId="0" xfId="54" applyFont="1" applyAlignment="1">
      <alignment horizontal="justify" vertical="top" wrapText="1"/>
      <protection/>
    </xf>
    <xf numFmtId="4" fontId="12" fillId="0" borderId="0" xfId="55" applyNumberFormat="1">
      <alignment/>
      <protection/>
    </xf>
    <xf numFmtId="0" fontId="12" fillId="0" borderId="0" xfId="55" applyFont="1">
      <alignment/>
      <protection/>
    </xf>
    <xf numFmtId="0" fontId="16" fillId="0" borderId="0" xfId="55" applyFont="1">
      <alignment/>
      <protection/>
    </xf>
    <xf numFmtId="39" fontId="12" fillId="0" borderId="0" xfId="55" applyNumberFormat="1" applyAlignment="1">
      <alignment wrapText="1"/>
      <protection/>
    </xf>
    <xf numFmtId="0" fontId="16" fillId="0" borderId="0" xfId="55" applyFont="1" applyAlignment="1">
      <alignment horizontal="center"/>
      <protection/>
    </xf>
    <xf numFmtId="0" fontId="16" fillId="0" borderId="0" xfId="55" applyFont="1" applyAlignment="1">
      <alignment horizontal="left"/>
      <protection/>
    </xf>
    <xf numFmtId="0" fontId="12" fillId="0" borderId="0" xfId="55" applyAlignment="1">
      <alignment wrapText="1"/>
      <protection/>
    </xf>
    <xf numFmtId="39" fontId="16" fillId="0" borderId="0" xfId="55" applyNumberFormat="1" applyFont="1" applyAlignment="1">
      <alignment wrapText="1"/>
      <protection/>
    </xf>
    <xf numFmtId="39" fontId="30" fillId="0" borderId="0" xfId="55" applyNumberFormat="1" applyFont="1" applyAlignment="1">
      <alignment wrapText="1"/>
      <protection/>
    </xf>
    <xf numFmtId="0" fontId="31" fillId="0" borderId="0" xfId="55" applyFont="1">
      <alignment/>
      <protection/>
    </xf>
    <xf numFmtId="0" fontId="5" fillId="0" borderId="0" xfId="55" applyNumberFormat="1" applyFont="1" applyAlignment="1">
      <alignment horizontal="center"/>
      <protection/>
    </xf>
    <xf numFmtId="0" fontId="16" fillId="0" borderId="0" xfId="55" applyFont="1" applyAlignment="1">
      <alignment wrapText="1"/>
      <protection/>
    </xf>
    <xf numFmtId="4" fontId="16" fillId="0" borderId="0" xfId="55" applyNumberFormat="1" applyFont="1">
      <alignment/>
      <protection/>
    </xf>
    <xf numFmtId="39" fontId="16" fillId="0" borderId="0" xfId="55" applyNumberFormat="1" applyFont="1">
      <alignment/>
      <protection/>
    </xf>
    <xf numFmtId="0" fontId="18" fillId="0" borderId="0" xfId="55" applyFont="1">
      <alignment/>
      <protection/>
    </xf>
    <xf numFmtId="4" fontId="28" fillId="0" borderId="0" xfId="54" applyNumberFormat="1" applyFont="1">
      <alignment/>
      <protection/>
    </xf>
    <xf numFmtId="4" fontId="18" fillId="0" borderId="0" xfId="55" applyNumberFormat="1" applyFont="1">
      <alignment/>
      <protection/>
    </xf>
    <xf numFmtId="4" fontId="11" fillId="0" borderId="0" xfId="54" applyNumberFormat="1" applyFont="1" applyAlignment="1">
      <alignment horizontal="right"/>
      <protection/>
    </xf>
    <xf numFmtId="4" fontId="5" fillId="0" borderId="0" xfId="54" applyNumberFormat="1" applyFont="1" applyAlignment="1">
      <alignment horizontal="right"/>
      <protection/>
    </xf>
    <xf numFmtId="0" fontId="11" fillId="0" borderId="0" xfId="54" applyNumberFormat="1" applyFont="1" applyAlignment="1">
      <alignment/>
      <protection/>
    </xf>
    <xf numFmtId="0" fontId="12" fillId="0" borderId="0" xfId="54">
      <alignment/>
      <protection/>
    </xf>
    <xf numFmtId="39" fontId="12" fillId="0" borderId="0" xfId="54" applyNumberFormat="1" applyAlignment="1">
      <alignment wrapText="1"/>
      <protection/>
    </xf>
    <xf numFmtId="0" fontId="12" fillId="0" borderId="0" xfId="54" applyAlignment="1">
      <alignment wrapText="1"/>
      <protection/>
    </xf>
    <xf numFmtId="39" fontId="16" fillId="0" borderId="0" xfId="54" applyNumberFormat="1" applyFont="1" applyAlignment="1">
      <alignment wrapText="1"/>
      <protection/>
    </xf>
    <xf numFmtId="39" fontId="30" fillId="0" borderId="0" xfId="54" applyNumberFormat="1" applyFont="1" applyAlignment="1">
      <alignment wrapText="1"/>
      <protection/>
    </xf>
    <xf numFmtId="0" fontId="12" fillId="0" borderId="0" xfId="54" applyFont="1" applyAlignment="1">
      <alignment wrapText="1"/>
      <protection/>
    </xf>
    <xf numFmtId="0" fontId="16" fillId="0" borderId="0" xfId="54" applyFont="1" applyAlignment="1">
      <alignment wrapText="1"/>
      <protection/>
    </xf>
    <xf numFmtId="39" fontId="36" fillId="0" borderId="0" xfId="54" applyNumberFormat="1" applyFont="1" applyAlignment="1">
      <alignment wrapText="1"/>
      <protection/>
    </xf>
    <xf numFmtId="39" fontId="12" fillId="0" borderId="0" xfId="54" applyNumberFormat="1" applyFont="1" applyAlignment="1">
      <alignment wrapText="1"/>
      <protection/>
    </xf>
    <xf numFmtId="39" fontId="30" fillId="34" borderId="0" xfId="54" applyNumberFormat="1" applyFont="1" applyFill="1" applyAlignment="1">
      <alignment wrapText="1"/>
      <protection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39" fontId="0" fillId="0" borderId="0" xfId="0" applyNumberFormat="1" applyAlignment="1">
      <alignment wrapText="1"/>
    </xf>
    <xf numFmtId="0" fontId="16" fillId="34" borderId="0" xfId="54" applyFont="1" applyFill="1" applyAlignment="1">
      <alignment wrapText="1"/>
      <protection/>
    </xf>
    <xf numFmtId="39" fontId="12" fillId="34" borderId="0" xfId="54" applyNumberFormat="1" applyFill="1" applyAlignment="1">
      <alignment wrapText="1"/>
      <protection/>
    </xf>
    <xf numFmtId="0" fontId="12" fillId="34" borderId="0" xfId="54" applyFill="1" applyAlignment="1">
      <alignment wrapText="1"/>
      <protection/>
    </xf>
    <xf numFmtId="0" fontId="16" fillId="34" borderId="0" xfId="0" applyFont="1" applyFill="1" applyAlignment="1">
      <alignment/>
    </xf>
    <xf numFmtId="4" fontId="0" fillId="0" borderId="0" xfId="0" applyNumberFormat="1" applyAlignment="1">
      <alignment/>
    </xf>
    <xf numFmtId="0" fontId="11" fillId="34" borderId="0" xfId="54" applyFont="1" applyFill="1">
      <alignment/>
      <protection/>
    </xf>
    <xf numFmtId="0" fontId="12" fillId="34" borderId="0" xfId="54" applyFill="1">
      <alignment/>
      <protection/>
    </xf>
    <xf numFmtId="0" fontId="12" fillId="0" borderId="0" xfId="54" applyFill="1">
      <alignment/>
      <protection/>
    </xf>
    <xf numFmtId="39" fontId="12" fillId="0" borderId="0" xfId="54" applyNumberFormat="1" applyFill="1" applyAlignment="1">
      <alignment wrapText="1"/>
      <protection/>
    </xf>
    <xf numFmtId="0" fontId="12" fillId="0" borderId="0" xfId="54" applyFill="1" applyAlignment="1">
      <alignment wrapText="1"/>
      <protection/>
    </xf>
    <xf numFmtId="0" fontId="12" fillId="34" borderId="0" xfId="54" applyFont="1" applyFill="1" applyAlignment="1">
      <alignment wrapText="1"/>
      <protection/>
    </xf>
    <xf numFmtId="4" fontId="38" fillId="0" borderId="0" xfId="0" applyNumberFormat="1" applyFont="1" applyAlignment="1">
      <alignment/>
    </xf>
    <xf numFmtId="0" fontId="12" fillId="34" borderId="0" xfId="55" applyFill="1">
      <alignment/>
      <protection/>
    </xf>
    <xf numFmtId="39" fontId="12" fillId="34" borderId="0" xfId="55" applyNumberFormat="1" applyFill="1" applyAlignment="1">
      <alignment wrapText="1"/>
      <protection/>
    </xf>
    <xf numFmtId="39" fontId="16" fillId="34" borderId="0" xfId="54" applyNumberFormat="1" applyFont="1" applyFill="1" applyAlignment="1">
      <alignment wrapText="1"/>
      <protection/>
    </xf>
    <xf numFmtId="0" fontId="37" fillId="34" borderId="0" xfId="54" applyFont="1" applyFill="1" applyAlignment="1">
      <alignment wrapText="1"/>
      <protection/>
    </xf>
    <xf numFmtId="39" fontId="12" fillId="34" borderId="0" xfId="54" applyNumberFormat="1" applyFont="1" applyFill="1" applyAlignment="1">
      <alignment wrapText="1"/>
      <protection/>
    </xf>
    <xf numFmtId="0" fontId="5" fillId="34" borderId="0" xfId="54" applyFont="1" applyFill="1">
      <alignment/>
      <protection/>
    </xf>
    <xf numFmtId="0" fontId="5" fillId="0" borderId="0" xfId="54" applyFont="1" applyFill="1">
      <alignment/>
      <protection/>
    </xf>
    <xf numFmtId="39" fontId="16" fillId="0" borderId="0" xfId="54" applyNumberFormat="1" applyFont="1">
      <alignment/>
      <protection/>
    </xf>
    <xf numFmtId="39" fontId="12" fillId="0" borderId="0" xfId="54" applyNumberFormat="1" applyFont="1">
      <alignment/>
      <protection/>
    </xf>
    <xf numFmtId="39" fontId="12" fillId="0" borderId="0" xfId="55" applyNumberFormat="1" applyFont="1" applyAlignment="1">
      <alignment wrapText="1"/>
      <protection/>
    </xf>
    <xf numFmtId="4" fontId="12" fillId="0" borderId="0" xfId="55" applyNumberFormat="1" applyFont="1">
      <alignment/>
      <protection/>
    </xf>
    <xf numFmtId="0" fontId="11" fillId="0" borderId="0" xfId="54" applyFont="1" applyFill="1">
      <alignment/>
      <protection/>
    </xf>
    <xf numFmtId="4" fontId="12" fillId="0" borderId="0" xfId="55" applyNumberFormat="1" applyFill="1">
      <alignment/>
      <protection/>
    </xf>
    <xf numFmtId="0" fontId="12" fillId="0" borderId="0" xfId="55" applyFill="1">
      <alignment/>
      <protection/>
    </xf>
    <xf numFmtId="0" fontId="28" fillId="0" borderId="0" xfId="55" applyFont="1">
      <alignment/>
      <protection/>
    </xf>
    <xf numFmtId="0" fontId="28" fillId="0" borderId="0" xfId="55" applyFont="1" applyAlignment="1">
      <alignment wrapText="1"/>
      <protection/>
    </xf>
    <xf numFmtId="39" fontId="16" fillId="0" borderId="0" xfId="54" applyNumberFormat="1" applyFont="1" applyFill="1" applyAlignment="1">
      <alignment wrapText="1"/>
      <protection/>
    </xf>
    <xf numFmtId="4" fontId="12" fillId="0" borderId="0" xfId="55" applyNumberFormat="1" applyFont="1" applyFill="1">
      <alignment/>
      <protection/>
    </xf>
    <xf numFmtId="0" fontId="11" fillId="0" borderId="0" xfId="54" applyFont="1" applyAlignment="1">
      <alignment horizontal="center"/>
      <protection/>
    </xf>
    <xf numFmtId="39" fontId="5" fillId="0" borderId="0" xfId="54" applyNumberFormat="1" applyFont="1" applyAlignment="1">
      <alignment/>
      <protection/>
    </xf>
    <xf numFmtId="4" fontId="11" fillId="34" borderId="0" xfId="54" applyNumberFormat="1" applyFont="1" applyFill="1" applyAlignment="1">
      <alignment horizontal="right"/>
      <protection/>
    </xf>
    <xf numFmtId="0" fontId="31" fillId="0" borderId="0" xfId="54" applyFont="1">
      <alignment/>
      <protection/>
    </xf>
    <xf numFmtId="4" fontId="11" fillId="0" borderId="0" xfId="54" applyNumberFormat="1" applyFont="1" applyFill="1">
      <alignment/>
      <protection/>
    </xf>
    <xf numFmtId="0" fontId="16" fillId="0" borderId="0" xfId="54" applyFont="1" applyAlignment="1">
      <alignment horizontal="center"/>
      <protection/>
    </xf>
    <xf numFmtId="4" fontId="18" fillId="0" borderId="0" xfId="54" applyNumberFormat="1" applyFont="1" applyAlignment="1">
      <alignment/>
      <protection/>
    </xf>
    <xf numFmtId="0" fontId="18" fillId="0" borderId="0" xfId="55" applyNumberFormat="1" applyFont="1" applyAlignment="1">
      <alignment/>
      <protection/>
    </xf>
    <xf numFmtId="0" fontId="28" fillId="0" borderId="0" xfId="55" applyNumberFormat="1" applyFont="1" applyAlignment="1">
      <alignment/>
      <protection/>
    </xf>
    <xf numFmtId="0" fontId="27" fillId="0" borderId="0" xfId="55" applyNumberFormat="1" applyFont="1" applyAlignment="1">
      <alignment/>
      <protection/>
    </xf>
    <xf numFmtId="0" fontId="12" fillId="0" borderId="0" xfId="55" applyFill="1" applyBorder="1">
      <alignment/>
      <protection/>
    </xf>
    <xf numFmtId="0" fontId="11" fillId="0" borderId="0" xfId="54" applyFont="1" applyFill="1" applyBorder="1">
      <alignment/>
      <protection/>
    </xf>
    <xf numFmtId="39" fontId="12" fillId="0" borderId="0" xfId="54" applyNumberFormat="1" applyFill="1" applyBorder="1" applyAlignment="1">
      <alignment wrapText="1"/>
      <protection/>
    </xf>
    <xf numFmtId="39" fontId="12" fillId="0" borderId="0" xfId="55" applyNumberFormat="1" applyFill="1" applyBorder="1" applyAlignment="1">
      <alignment wrapText="1"/>
      <protection/>
    </xf>
    <xf numFmtId="4" fontId="12" fillId="0" borderId="0" xfId="55" applyNumberFormat="1" applyFill="1" applyBorder="1">
      <alignment/>
      <protection/>
    </xf>
    <xf numFmtId="0" fontId="27" fillId="0" borderId="0" xfId="54" applyFont="1" applyAlignment="1">
      <alignment horizontal="center"/>
      <protection/>
    </xf>
    <xf numFmtId="4" fontId="11" fillId="0" borderId="0" xfId="54" applyNumberFormat="1" applyFont="1" applyFill="1" applyAlignment="1">
      <alignment horizontal="center"/>
      <protection/>
    </xf>
    <xf numFmtId="0" fontId="11" fillId="0" borderId="0" xfId="54" applyFont="1" applyFill="1" applyAlignment="1">
      <alignment/>
      <protection/>
    </xf>
    <xf numFmtId="0" fontId="12" fillId="0" borderId="0" xfId="54" applyFill="1" applyAlignment="1">
      <alignment horizontal="justify" vertical="top" wrapText="1"/>
      <protection/>
    </xf>
    <xf numFmtId="4" fontId="5" fillId="0" borderId="0" xfId="54" applyNumberFormat="1" applyFont="1" applyFill="1" applyAlignment="1">
      <alignment/>
      <protection/>
    </xf>
    <xf numFmtId="4" fontId="5" fillId="0" borderId="0" xfId="54" applyNumberFormat="1" applyFont="1" applyFill="1" applyAlignment="1">
      <alignment horizontal="center"/>
      <protection/>
    </xf>
    <xf numFmtId="4" fontId="5" fillId="0" borderId="0" xfId="54" applyNumberFormat="1" applyFont="1" applyFill="1">
      <alignment/>
      <protection/>
    </xf>
    <xf numFmtId="0" fontId="12" fillId="0" borderId="0" xfId="54" applyFill="1" applyAlignment="1">
      <alignment/>
      <protection/>
    </xf>
    <xf numFmtId="0" fontId="12" fillId="0" borderId="0" xfId="54" applyFont="1" applyFill="1" applyAlignment="1">
      <alignment/>
      <protection/>
    </xf>
    <xf numFmtId="188" fontId="5" fillId="0" borderId="0" xfId="54" applyNumberFormat="1" applyFont="1" applyFill="1" applyAlignment="1">
      <alignment/>
      <protection/>
    </xf>
    <xf numFmtId="4" fontId="11" fillId="0" borderId="0" xfId="54" applyNumberFormat="1" applyFont="1" applyFill="1" applyAlignment="1">
      <alignment/>
      <protection/>
    </xf>
    <xf numFmtId="0" fontId="7" fillId="0" borderId="0" xfId="54" applyFont="1" applyFill="1">
      <alignment/>
      <protection/>
    </xf>
    <xf numFmtId="0" fontId="13" fillId="0" borderId="0" xfId="54" applyFont="1" applyFill="1">
      <alignment/>
      <protection/>
    </xf>
    <xf numFmtId="1" fontId="11" fillId="0" borderId="0" xfId="54" applyNumberFormat="1" applyFont="1" applyFill="1" applyAlignment="1">
      <alignment/>
      <protection/>
    </xf>
    <xf numFmtId="4" fontId="7" fillId="0" borderId="0" xfId="54" applyNumberFormat="1" applyFont="1" applyFill="1" applyAlignment="1">
      <alignment/>
      <protection/>
    </xf>
    <xf numFmtId="4" fontId="13" fillId="0" borderId="0" xfId="54" applyNumberFormat="1" applyFont="1" applyFill="1" applyAlignment="1">
      <alignment/>
      <protection/>
    </xf>
    <xf numFmtId="1" fontId="11" fillId="0" borderId="0" xfId="54" applyNumberFormat="1" applyFont="1" applyFill="1">
      <alignment/>
      <protection/>
    </xf>
    <xf numFmtId="0" fontId="16" fillId="0" borderId="0" xfId="54" applyFont="1" applyFill="1" applyAlignment="1">
      <alignment horizontal="justify" vertical="top" wrapText="1"/>
      <protection/>
    </xf>
    <xf numFmtId="4" fontId="11" fillId="0" borderId="0" xfId="54" applyNumberFormat="1" applyFont="1" applyFill="1" applyBorder="1" applyAlignment="1">
      <alignment/>
      <protection/>
    </xf>
    <xf numFmtId="4" fontId="5" fillId="0" borderId="0" xfId="54" applyNumberFormat="1" applyFont="1" applyFill="1" applyBorder="1" applyAlignment="1">
      <alignment/>
      <protection/>
    </xf>
    <xf numFmtId="4" fontId="11" fillId="0" borderId="0" xfId="54" applyNumberFormat="1" applyFont="1" applyFill="1" applyBorder="1">
      <alignment/>
      <protection/>
    </xf>
    <xf numFmtId="188" fontId="5" fillId="0" borderId="0" xfId="54" applyNumberFormat="1" applyFont="1" applyFill="1">
      <alignment/>
      <protection/>
    </xf>
    <xf numFmtId="4" fontId="7" fillId="0" borderId="0" xfId="54" applyNumberFormat="1" applyFont="1" applyFill="1">
      <alignment/>
      <protection/>
    </xf>
    <xf numFmtId="4" fontId="13" fillId="0" borderId="0" xfId="54" applyNumberFormat="1" applyFont="1" applyFill="1">
      <alignment/>
      <protection/>
    </xf>
    <xf numFmtId="4" fontId="13" fillId="0" borderId="0" xfId="54" applyNumberFormat="1" applyFont="1" applyFill="1" applyBorder="1">
      <alignment/>
      <protection/>
    </xf>
    <xf numFmtId="0" fontId="11" fillId="0" borderId="0" xfId="54" applyFont="1" applyFill="1" applyAlignment="1">
      <alignment horizontal="justify" vertical="top" wrapText="1"/>
      <protection/>
    </xf>
    <xf numFmtId="4" fontId="12" fillId="0" borderId="0" xfId="54" applyNumberFormat="1" applyFill="1" applyAlignment="1">
      <alignment horizontal="justify" vertical="top" wrapText="1"/>
      <protection/>
    </xf>
    <xf numFmtId="4" fontId="12" fillId="0" borderId="0" xfId="54" applyNumberFormat="1" applyFont="1" applyFill="1" applyAlignment="1">
      <alignment horizontal="justify" vertical="top" wrapText="1"/>
      <protection/>
    </xf>
    <xf numFmtId="4" fontId="29" fillId="0" borderId="0" xfId="54" applyNumberFormat="1" applyFont="1" applyFill="1" applyAlignment="1">
      <alignment horizontal="justify" vertical="top" wrapText="1"/>
      <protection/>
    </xf>
    <xf numFmtId="0" fontId="18" fillId="0" borderId="0" xfId="54" applyFont="1" applyFill="1">
      <alignment/>
      <protection/>
    </xf>
    <xf numFmtId="0" fontId="29" fillId="0" borderId="0" xfId="54" applyFont="1" applyFill="1">
      <alignment/>
      <protection/>
    </xf>
    <xf numFmtId="4" fontId="18" fillId="0" borderId="0" xfId="54" applyNumberFormat="1" applyFont="1" applyFill="1">
      <alignment/>
      <protection/>
    </xf>
    <xf numFmtId="0" fontId="29" fillId="0" borderId="0" xfId="55" applyFont="1" applyFill="1">
      <alignment/>
      <protection/>
    </xf>
    <xf numFmtId="4" fontId="29" fillId="0" borderId="0" xfId="54" applyNumberFormat="1" applyFont="1" applyFill="1">
      <alignment/>
      <protection/>
    </xf>
    <xf numFmtId="0" fontId="12" fillId="0" borderId="0" xfId="55" applyFont="1" applyFill="1">
      <alignment/>
      <protection/>
    </xf>
    <xf numFmtId="0" fontId="16" fillId="0" borderId="0" xfId="55" applyFont="1" applyFill="1">
      <alignment/>
      <protection/>
    </xf>
    <xf numFmtId="39" fontId="12" fillId="0" borderId="0" xfId="55" applyNumberFormat="1" applyFill="1" applyAlignment="1">
      <alignment wrapText="1"/>
      <protection/>
    </xf>
    <xf numFmtId="0" fontId="16" fillId="0" borderId="0" xfId="55" applyFont="1" applyFill="1" applyAlignment="1">
      <alignment horizontal="center"/>
      <protection/>
    </xf>
    <xf numFmtId="0" fontId="16" fillId="0" borderId="0" xfId="55" applyFont="1" applyFill="1" applyAlignment="1">
      <alignment horizontal="left"/>
      <protection/>
    </xf>
    <xf numFmtId="4" fontId="16" fillId="0" borderId="0" xfId="55" applyNumberFormat="1" applyFont="1" applyFill="1" applyAlignment="1">
      <alignment horizontal="center"/>
      <protection/>
    </xf>
    <xf numFmtId="4" fontId="16" fillId="0" borderId="0" xfId="54" applyNumberFormat="1" applyFont="1" applyFill="1">
      <alignment/>
      <protection/>
    </xf>
    <xf numFmtId="0" fontId="12" fillId="0" borderId="0" xfId="55" applyFill="1" applyAlignment="1">
      <alignment wrapText="1"/>
      <protection/>
    </xf>
    <xf numFmtId="39" fontId="16" fillId="0" borderId="0" xfId="55" applyNumberFormat="1" applyFont="1" applyFill="1" applyAlignment="1">
      <alignment wrapText="1"/>
      <protection/>
    </xf>
    <xf numFmtId="39" fontId="30" fillId="0" borderId="0" xfId="55" applyNumberFormat="1" applyFont="1" applyFill="1" applyAlignment="1">
      <alignment wrapText="1"/>
      <protection/>
    </xf>
    <xf numFmtId="0" fontId="31" fillId="0" borderId="0" xfId="55" applyFont="1" applyFill="1">
      <alignment/>
      <protection/>
    </xf>
    <xf numFmtId="0" fontId="5" fillId="0" borderId="0" xfId="55" applyNumberFormat="1" applyFont="1" applyFill="1" applyAlignment="1">
      <alignment horizontal="center"/>
      <protection/>
    </xf>
    <xf numFmtId="0" fontId="16" fillId="0" borderId="0" xfId="55" applyFont="1" applyFill="1" applyAlignment="1">
      <alignment wrapText="1"/>
      <protection/>
    </xf>
    <xf numFmtId="4" fontId="16" fillId="0" borderId="0" xfId="55" applyNumberFormat="1" applyFont="1" applyFill="1">
      <alignment/>
      <protection/>
    </xf>
    <xf numFmtId="39" fontId="16" fillId="0" borderId="0" xfId="55" applyNumberFormat="1" applyFont="1" applyFill="1">
      <alignment/>
      <protection/>
    </xf>
    <xf numFmtId="0" fontId="12" fillId="0" borderId="0" xfId="55" applyFont="1" applyFill="1" applyAlignment="1">
      <alignment wrapText="1"/>
      <protection/>
    </xf>
    <xf numFmtId="39" fontId="12" fillId="0" borderId="0" xfId="55" applyNumberFormat="1" applyFill="1">
      <alignment/>
      <protection/>
    </xf>
    <xf numFmtId="0" fontId="18" fillId="0" borderId="0" xfId="55" applyFont="1" applyFill="1">
      <alignment/>
      <protection/>
    </xf>
    <xf numFmtId="4" fontId="28" fillId="0" borderId="0" xfId="54" applyNumberFormat="1" applyFont="1" applyFill="1">
      <alignment/>
      <protection/>
    </xf>
    <xf numFmtId="4" fontId="18" fillId="0" borderId="0" xfId="55" applyNumberFormat="1" applyFont="1" applyFill="1">
      <alignment/>
      <protection/>
    </xf>
    <xf numFmtId="4" fontId="11" fillId="0" borderId="0" xfId="54" applyNumberFormat="1" applyFont="1" applyFill="1" applyAlignment="1">
      <alignment horizontal="right"/>
      <protection/>
    </xf>
    <xf numFmtId="4" fontId="11" fillId="0" borderId="0" xfId="54" applyNumberFormat="1" applyFont="1" applyFill="1" applyBorder="1" applyAlignment="1">
      <alignment horizontal="right"/>
      <protection/>
    </xf>
    <xf numFmtId="4" fontId="5" fillId="0" borderId="0" xfId="54" applyNumberFormat="1" applyFont="1" applyFill="1" applyAlignment="1">
      <alignment horizontal="right"/>
      <protection/>
    </xf>
    <xf numFmtId="4" fontId="32" fillId="0" borderId="0" xfId="54" applyNumberFormat="1" applyFont="1" applyFill="1">
      <alignment/>
      <protection/>
    </xf>
    <xf numFmtId="4" fontId="32" fillId="0" borderId="0" xfId="54" applyNumberFormat="1" applyFont="1" applyFill="1" applyAlignment="1">
      <alignment horizontal="right"/>
      <protection/>
    </xf>
    <xf numFmtId="4" fontId="33" fillId="0" borderId="0" xfId="54" applyNumberFormat="1" applyFont="1" applyFill="1">
      <alignment/>
      <protection/>
    </xf>
    <xf numFmtId="0" fontId="5" fillId="0" borderId="0" xfId="54" applyFont="1" applyFill="1" applyAlignment="1">
      <alignment/>
      <protection/>
    </xf>
    <xf numFmtId="0" fontId="11" fillId="0" borderId="0" xfId="54" applyNumberFormat="1" applyFont="1" applyFill="1" applyAlignment="1">
      <alignment/>
      <protection/>
    </xf>
    <xf numFmtId="0" fontId="5" fillId="0" borderId="0" xfId="54" applyFont="1" applyFill="1" applyAlignment="1">
      <alignment horizontal="justify" vertical="top" wrapText="1"/>
      <protection/>
    </xf>
    <xf numFmtId="0" fontId="29" fillId="0" borderId="0" xfId="0" applyFont="1" applyAlignment="1">
      <alignment/>
    </xf>
    <xf numFmtId="0" fontId="18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18" fillId="0" borderId="0" xfId="0" applyFont="1" applyFill="1" applyBorder="1" applyAlignment="1">
      <alignment horizontal="left" wrapText="1"/>
    </xf>
    <xf numFmtId="4" fontId="29" fillId="0" borderId="0" xfId="0" applyNumberFormat="1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 horizontal="left" wrapText="1"/>
    </xf>
    <xf numFmtId="0" fontId="39" fillId="0" borderId="0" xfId="0" applyFont="1" applyBorder="1" applyAlignment="1">
      <alignment/>
    </xf>
    <xf numFmtId="4" fontId="29" fillId="0" borderId="0" xfId="0" applyNumberFormat="1" applyFont="1" applyBorder="1" applyAlignment="1">
      <alignment/>
    </xf>
    <xf numFmtId="4" fontId="18" fillId="0" borderId="53" xfId="0" applyNumberFormat="1" applyFont="1" applyFill="1" applyBorder="1" applyAlignment="1">
      <alignment/>
    </xf>
    <xf numFmtId="4" fontId="29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4" fontId="7" fillId="0" borderId="21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0" fontId="12" fillId="0" borderId="0" xfId="55" applyFont="1" applyFill="1" applyAlignment="1">
      <alignment wrapText="1"/>
      <protection/>
    </xf>
    <xf numFmtId="39" fontId="12" fillId="0" borderId="0" xfId="55" applyNumberFormat="1" applyFont="1" applyFill="1" applyAlignment="1">
      <alignment wrapText="1"/>
      <protection/>
    </xf>
    <xf numFmtId="4" fontId="11" fillId="0" borderId="17" xfId="0" applyNumberFormat="1" applyFont="1" applyBorder="1" applyAlignment="1">
      <alignment/>
    </xf>
    <xf numFmtId="0" fontId="11" fillId="0" borderId="12" xfId="0" applyFont="1" applyFill="1" applyBorder="1" applyAlignment="1">
      <alignment horizontal="left" wrapText="1"/>
    </xf>
    <xf numFmtId="0" fontId="11" fillId="0" borderId="0" xfId="0" applyFont="1" applyFill="1" applyAlignment="1">
      <alignment/>
    </xf>
    <xf numFmtId="4" fontId="28" fillId="0" borderId="0" xfId="55" applyNumberFormat="1" applyFont="1" applyFill="1" applyAlignment="1">
      <alignment horizontal="center"/>
      <protection/>
    </xf>
    <xf numFmtId="4" fontId="11" fillId="0" borderId="0" xfId="54" applyNumberFormat="1" applyFont="1" applyFill="1" quotePrefix="1">
      <alignment/>
      <protection/>
    </xf>
    <xf numFmtId="39" fontId="12" fillId="0" borderId="0" xfId="55" applyNumberFormat="1" applyFont="1" applyFill="1" applyAlignment="1">
      <alignment wrapText="1"/>
      <protection/>
    </xf>
    <xf numFmtId="4" fontId="11" fillId="0" borderId="0" xfId="54" applyNumberFormat="1" applyFont="1" applyFill="1" applyAlignment="1">
      <alignment vertical="top" wrapText="1"/>
      <protection/>
    </xf>
    <xf numFmtId="0" fontId="12" fillId="0" borderId="0" xfId="55" applyFont="1" applyFill="1">
      <alignment/>
      <protection/>
    </xf>
    <xf numFmtId="0" fontId="29" fillId="0" borderId="0" xfId="54" applyFont="1" applyFill="1" applyAlignment="1">
      <alignment horizontal="justify" vertical="top" wrapText="1"/>
      <protection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4" fontId="9" fillId="0" borderId="28" xfId="0" applyNumberFormat="1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4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4" fontId="42" fillId="0" borderId="0" xfId="0" applyNumberFormat="1" applyFont="1" applyBorder="1" applyAlignment="1">
      <alignment horizontal="center"/>
    </xf>
    <xf numFmtId="1" fontId="42" fillId="0" borderId="0" xfId="0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4" fontId="42" fillId="0" borderId="0" xfId="0" applyNumberFormat="1" applyFont="1" applyBorder="1" applyAlignment="1">
      <alignment/>
    </xf>
    <xf numFmtId="1" fontId="43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vertical="top" wrapText="1"/>
    </xf>
    <xf numFmtId="4" fontId="44" fillId="0" borderId="0" xfId="0" applyNumberFormat="1" applyFont="1" applyBorder="1" applyAlignment="1">
      <alignment/>
    </xf>
    <xf numFmtId="4" fontId="45" fillId="0" borderId="0" xfId="0" applyNumberFormat="1" applyFont="1" applyBorder="1" applyAlignment="1">
      <alignment/>
    </xf>
    <xf numFmtId="189" fontId="46" fillId="0" borderId="0" xfId="56" applyNumberFormat="1" applyFont="1" applyFill="1" applyBorder="1" applyAlignment="1">
      <alignment horizontal="right"/>
      <protection/>
    </xf>
    <xf numFmtId="0" fontId="16" fillId="0" borderId="10" xfId="0" applyFont="1" applyFill="1" applyBorder="1" applyAlignment="1">
      <alignment horizontal="left" wrapText="1"/>
    </xf>
    <xf numFmtId="4" fontId="16" fillId="0" borderId="17" xfId="0" applyNumberFormat="1" applyFont="1" applyFill="1" applyBorder="1" applyAlignment="1">
      <alignment/>
    </xf>
    <xf numFmtId="4" fontId="12" fillId="0" borderId="10" xfId="0" applyNumberFormat="1" applyFont="1" applyBorder="1" applyAlignment="1">
      <alignment/>
    </xf>
    <xf numFmtId="4" fontId="12" fillId="0" borderId="21" xfId="0" applyNumberFormat="1" applyFont="1" applyBorder="1" applyAlignment="1">
      <alignment/>
    </xf>
    <xf numFmtId="4" fontId="12" fillId="0" borderId="14" xfId="0" applyNumberFormat="1" applyFont="1" applyBorder="1" applyAlignment="1">
      <alignment/>
    </xf>
    <xf numFmtId="4" fontId="12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3" fontId="7" fillId="0" borderId="21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0" fontId="8" fillId="0" borderId="17" xfId="0" applyFont="1" applyBorder="1" applyAlignment="1">
      <alignment horizontal="justify" vertical="top" wrapText="1"/>
    </xf>
    <xf numFmtId="4" fontId="7" fillId="0" borderId="21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right" vertical="top" wrapText="1"/>
    </xf>
    <xf numFmtId="4" fontId="5" fillId="0" borderId="14" xfId="0" applyNumberFormat="1" applyFont="1" applyBorder="1" applyAlignment="1">
      <alignment horizontal="right" vertical="top" wrapText="1"/>
    </xf>
    <xf numFmtId="4" fontId="5" fillId="0" borderId="21" xfId="0" applyNumberFormat="1" applyFont="1" applyFill="1" applyBorder="1" applyAlignment="1">
      <alignment horizontal="right" vertical="top" wrapText="1"/>
    </xf>
    <xf numFmtId="4" fontId="5" fillId="0" borderId="14" xfId="0" applyNumberFormat="1" applyFont="1" applyFill="1" applyBorder="1" applyAlignment="1">
      <alignment horizontal="right" vertical="top" wrapText="1"/>
    </xf>
    <xf numFmtId="0" fontId="16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4" fontId="11" fillId="0" borderId="21" xfId="0" applyNumberFormat="1" applyFont="1" applyFill="1" applyBorder="1" applyAlignment="1">
      <alignment horizontal="right" vertical="top" wrapText="1"/>
    </xf>
    <xf numFmtId="4" fontId="11" fillId="0" borderId="14" xfId="0" applyNumberFormat="1" applyFont="1" applyFill="1" applyBorder="1" applyAlignment="1">
      <alignment horizontal="right" vertical="top" wrapText="1"/>
    </xf>
    <xf numFmtId="4" fontId="11" fillId="0" borderId="21" xfId="0" applyNumberFormat="1" applyFont="1" applyBorder="1" applyAlignment="1">
      <alignment horizontal="right" vertical="top" wrapText="1"/>
    </xf>
    <xf numFmtId="4" fontId="11" fillId="0" borderId="14" xfId="0" applyNumberFormat="1" applyFont="1" applyBorder="1" applyAlignment="1">
      <alignment horizontal="right" vertical="top" wrapText="1"/>
    </xf>
    <xf numFmtId="1" fontId="5" fillId="0" borderId="0" xfId="0" applyNumberFormat="1" applyFont="1" applyFill="1" applyAlignment="1">
      <alignment horizontal="center"/>
    </xf>
    <xf numFmtId="0" fontId="1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justify" vertical="top" wrapText="1"/>
    </xf>
    <xf numFmtId="0" fontId="28" fillId="0" borderId="0" xfId="0" applyFont="1" applyAlignment="1">
      <alignment horizontal="center"/>
    </xf>
    <xf numFmtId="1" fontId="18" fillId="0" borderId="0" xfId="0" applyNumberFormat="1" applyFont="1" applyFill="1" applyAlignment="1">
      <alignment horizontal="center"/>
    </xf>
    <xf numFmtId="0" fontId="18" fillId="0" borderId="0" xfId="54" applyFont="1" applyFill="1" applyAlignment="1">
      <alignment horizontal="justify" vertical="top" wrapText="1"/>
      <protection/>
    </xf>
    <xf numFmtId="0" fontId="29" fillId="0" borderId="0" xfId="54" applyFont="1" applyFill="1" applyAlignment="1">
      <alignment horizontal="justify" vertical="top" wrapText="1"/>
      <protection/>
    </xf>
    <xf numFmtId="0" fontId="28" fillId="0" borderId="0" xfId="55" applyNumberFormat="1" applyFont="1" applyFill="1" applyAlignment="1">
      <alignment horizontal="center"/>
      <protection/>
    </xf>
    <xf numFmtId="4" fontId="18" fillId="0" borderId="0" xfId="54" applyNumberFormat="1" applyFont="1" applyFill="1" applyAlignment="1">
      <alignment horizontal="center"/>
      <protection/>
    </xf>
    <xf numFmtId="4" fontId="28" fillId="0" borderId="0" xfId="55" applyNumberFormat="1" applyFont="1" applyFill="1" applyAlignment="1">
      <alignment horizontal="center"/>
      <protection/>
    </xf>
    <xf numFmtId="0" fontId="18" fillId="0" borderId="0" xfId="55" applyNumberFormat="1" applyFont="1" applyFill="1" applyAlignment="1">
      <alignment horizontal="center"/>
      <protection/>
    </xf>
    <xf numFmtId="4" fontId="11" fillId="0" borderId="0" xfId="54" applyNumberFormat="1" applyFont="1" applyFill="1" applyAlignment="1">
      <alignment horizontal="justify" vertical="top" wrapText="1"/>
      <protection/>
    </xf>
    <xf numFmtId="0" fontId="28" fillId="0" borderId="0" xfId="54" applyFont="1" applyFill="1" applyAlignment="1">
      <alignment horizontal="center"/>
      <protection/>
    </xf>
    <xf numFmtId="4" fontId="28" fillId="0" borderId="0" xfId="54" applyNumberFormat="1" applyFont="1" applyFill="1" applyAlignment="1">
      <alignment horizontal="center"/>
      <protection/>
    </xf>
    <xf numFmtId="4" fontId="18" fillId="0" borderId="0" xfId="54" applyNumberFormat="1" applyFont="1" applyFill="1" applyAlignment="1">
      <alignment horizontal="justify" vertical="top" wrapText="1"/>
      <protection/>
    </xf>
    <xf numFmtId="4" fontId="8" fillId="0" borderId="0" xfId="54" applyNumberFormat="1" applyFont="1" applyFill="1" applyAlignment="1">
      <alignment horizontal="justify" vertical="top" wrapText="1"/>
      <protection/>
    </xf>
    <xf numFmtId="0" fontId="16" fillId="0" borderId="0" xfId="54" applyFont="1" applyFill="1" applyAlignment="1">
      <alignment horizontal="justify" vertical="top" wrapText="1"/>
      <protection/>
    </xf>
    <xf numFmtId="4" fontId="5" fillId="0" borderId="0" xfId="54" applyNumberFormat="1" applyFont="1" applyFill="1" applyAlignment="1">
      <alignment horizontal="justify" vertical="top" wrapText="1"/>
      <protection/>
    </xf>
    <xf numFmtId="4" fontId="5" fillId="0" borderId="0" xfId="54" applyNumberFormat="1" applyFont="1" applyFill="1" applyAlignment="1">
      <alignment horizontal="center"/>
      <protection/>
    </xf>
    <xf numFmtId="0" fontId="16" fillId="0" borderId="0" xfId="54" applyFont="1" applyFill="1" applyAlignment="1">
      <alignment horizontal="center" vertical="top" wrapText="1"/>
      <protection/>
    </xf>
    <xf numFmtId="4" fontId="27" fillId="0" borderId="0" xfId="54" applyNumberFormat="1" applyFont="1" applyFill="1" applyAlignment="1">
      <alignment horizontal="center"/>
      <protection/>
    </xf>
    <xf numFmtId="4" fontId="11" fillId="0" borderId="0" xfId="54" applyNumberFormat="1" applyFont="1" applyFill="1" applyAlignment="1">
      <alignment horizontal="center"/>
      <protection/>
    </xf>
    <xf numFmtId="4" fontId="18" fillId="0" borderId="0" xfId="54" applyNumberFormat="1" applyFont="1" applyFill="1" applyAlignment="1">
      <alignment horizontal="center" vertical="top" wrapText="1"/>
      <protection/>
    </xf>
    <xf numFmtId="4" fontId="29" fillId="0" borderId="0" xfId="54" applyNumberFormat="1" applyFont="1" applyFill="1" applyAlignment="1">
      <alignment horizontal="center"/>
      <protection/>
    </xf>
    <xf numFmtId="0" fontId="27" fillId="0" borderId="0" xfId="54" applyFont="1" applyAlignment="1">
      <alignment horizont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anexo recaudo 2007_2008" xfId="50"/>
    <cellStyle name="Currency" xfId="51"/>
    <cellStyle name="Currency [0]" xfId="52"/>
    <cellStyle name="Neutral" xfId="53"/>
    <cellStyle name="Normal 2" xfId="54"/>
    <cellStyle name="Normal 3" xfId="55"/>
    <cellStyle name="Normal_anexo recaudo 2007_2008" xfId="56"/>
    <cellStyle name="Normal_anexo recaudo 2007_2008_anexos MFMp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364"/>
  <sheetViews>
    <sheetView tabSelected="1" zoomScalePageLayoutView="0" workbookViewId="0" topLeftCell="A1">
      <selection activeCell="A21" sqref="A21"/>
    </sheetView>
  </sheetViews>
  <sheetFormatPr defaultColWidth="11.421875" defaultRowHeight="19.5" customHeight="1"/>
  <cols>
    <col min="1" max="1" width="45.421875" style="20" customWidth="1"/>
    <col min="2" max="2" width="19.8515625" style="110" customWidth="1"/>
    <col min="3" max="3" width="16.421875" style="22" customWidth="1"/>
    <col min="4" max="4" width="17.140625" style="22" customWidth="1"/>
    <col min="5" max="5" width="17.7109375" style="22" customWidth="1"/>
    <col min="6" max="7" width="16.57421875" style="22" customWidth="1"/>
    <col min="8" max="8" width="16.28125" style="22" customWidth="1"/>
    <col min="9" max="9" width="17.00390625" style="22" customWidth="1"/>
    <col min="10" max="10" width="17.28125" style="22" customWidth="1"/>
    <col min="11" max="11" width="16.421875" style="22" customWidth="1"/>
    <col min="12" max="16384" width="11.421875" style="20" customWidth="1"/>
  </cols>
  <sheetData>
    <row r="4" spans="1:11" ht="19.5" customHeight="1">
      <c r="A4" s="362" t="s">
        <v>654</v>
      </c>
      <c r="B4" s="362"/>
      <c r="C4" s="362"/>
      <c r="D4" s="362"/>
      <c r="E4" s="362"/>
      <c r="F4" s="362"/>
      <c r="G4" s="362"/>
      <c r="H4" s="362"/>
      <c r="I4" s="362"/>
      <c r="J4" s="362"/>
      <c r="K4" s="362"/>
    </row>
    <row r="5" spans="1:11" ht="19.5" customHeight="1">
      <c r="A5" s="375" t="s">
        <v>231</v>
      </c>
      <c r="B5" s="375"/>
      <c r="C5" s="375"/>
      <c r="D5" s="375"/>
      <c r="E5" s="375"/>
      <c r="F5" s="375"/>
      <c r="G5" s="375"/>
      <c r="H5" s="375"/>
      <c r="I5" s="375"/>
      <c r="J5" s="375"/>
      <c r="K5" s="375"/>
    </row>
    <row r="6" spans="1:11" ht="19.5" customHeight="1">
      <c r="A6" s="383" t="s">
        <v>653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</row>
    <row r="7" spans="1:2" ht="19.5" customHeight="1">
      <c r="A7" s="15"/>
      <c r="B7" s="15"/>
    </row>
    <row r="8" spans="1:2" ht="19.5" customHeight="1">
      <c r="A8" s="15" t="s">
        <v>200</v>
      </c>
      <c r="B8" s="56">
        <v>5</v>
      </c>
    </row>
    <row r="9" spans="1:2" ht="19.5" customHeight="1">
      <c r="A9" s="15"/>
      <c r="B9" s="16"/>
    </row>
    <row r="10" spans="1:11" ht="19.5" customHeight="1">
      <c r="A10" s="376" t="s">
        <v>67</v>
      </c>
      <c r="B10" s="376"/>
      <c r="C10" s="376"/>
      <c r="D10" s="376"/>
      <c r="E10" s="376"/>
      <c r="F10" s="376"/>
      <c r="G10" s="376"/>
      <c r="H10" s="376"/>
      <c r="I10" s="376"/>
      <c r="J10" s="376"/>
      <c r="K10" s="376"/>
    </row>
    <row r="11" spans="1:2" ht="19.5" customHeight="1" thickBot="1">
      <c r="A11" s="23"/>
      <c r="B11" s="355"/>
    </row>
    <row r="12" spans="1:11" ht="26.25" customHeight="1">
      <c r="A12" s="116" t="s">
        <v>38</v>
      </c>
      <c r="B12" s="117" t="s">
        <v>191</v>
      </c>
      <c r="C12" s="117" t="s">
        <v>192</v>
      </c>
      <c r="D12" s="117" t="s">
        <v>193</v>
      </c>
      <c r="E12" s="117" t="s">
        <v>194</v>
      </c>
      <c r="F12" s="117" t="s">
        <v>195</v>
      </c>
      <c r="G12" s="117" t="s">
        <v>196</v>
      </c>
      <c r="H12" s="117" t="s">
        <v>197</v>
      </c>
      <c r="I12" s="117" t="s">
        <v>198</v>
      </c>
      <c r="J12" s="118" t="s">
        <v>199</v>
      </c>
      <c r="K12" s="118" t="s">
        <v>655</v>
      </c>
    </row>
    <row r="13" spans="1:11" ht="19.5" customHeight="1">
      <c r="A13" s="119" t="s">
        <v>1</v>
      </c>
      <c r="B13" s="31">
        <f aca="true" t="shared" si="0" ref="B13:K13">+B14+B36</f>
        <v>7917800000</v>
      </c>
      <c r="C13" s="25">
        <f t="shared" si="0"/>
        <v>7683690000</v>
      </c>
      <c r="D13" s="25">
        <f t="shared" si="0"/>
        <v>8067874500</v>
      </c>
      <c r="E13" s="25">
        <f t="shared" si="0"/>
        <v>8471268227</v>
      </c>
      <c r="F13" s="25">
        <f t="shared" si="0"/>
        <v>8894831641</v>
      </c>
      <c r="G13" s="25">
        <f t="shared" si="0"/>
        <v>9339573226</v>
      </c>
      <c r="H13" s="25">
        <f t="shared" si="0"/>
        <v>9806551887</v>
      </c>
      <c r="I13" s="25">
        <f t="shared" si="0"/>
        <v>10296879485</v>
      </c>
      <c r="J13" s="25">
        <f t="shared" si="0"/>
        <v>10811723460</v>
      </c>
      <c r="K13" s="120">
        <f t="shared" si="0"/>
        <v>11352309632</v>
      </c>
    </row>
    <row r="14" spans="1:11" ht="19.5" customHeight="1">
      <c r="A14" s="121" t="s">
        <v>2</v>
      </c>
      <c r="B14" s="31">
        <f aca="true" t="shared" si="1" ref="B14:K14">+B15+B19</f>
        <v>7803500000</v>
      </c>
      <c r="C14" s="25">
        <f t="shared" si="1"/>
        <v>7563675000</v>
      </c>
      <c r="D14" s="25">
        <f t="shared" si="1"/>
        <v>7941858750</v>
      </c>
      <c r="E14" s="25">
        <f t="shared" si="1"/>
        <v>8338951688</v>
      </c>
      <c r="F14" s="25">
        <f t="shared" si="1"/>
        <v>8755899273</v>
      </c>
      <c r="G14" s="25">
        <f t="shared" si="1"/>
        <v>9193694238</v>
      </c>
      <c r="H14" s="25">
        <f t="shared" si="1"/>
        <v>9653378949</v>
      </c>
      <c r="I14" s="25">
        <f t="shared" si="1"/>
        <v>10136047898</v>
      </c>
      <c r="J14" s="25">
        <f t="shared" si="1"/>
        <v>10642850294</v>
      </c>
      <c r="K14" s="120">
        <f t="shared" si="1"/>
        <v>11174992808</v>
      </c>
    </row>
    <row r="15" spans="1:11" ht="19.5" customHeight="1">
      <c r="A15" s="121" t="s">
        <v>3</v>
      </c>
      <c r="B15" s="31">
        <f aca="true" t="shared" si="2" ref="B15:K15">+B16+B17</f>
        <v>1042400000</v>
      </c>
      <c r="C15" s="25">
        <f t="shared" si="2"/>
        <v>1094520000</v>
      </c>
      <c r="D15" s="25">
        <f t="shared" si="2"/>
        <v>1149246000</v>
      </c>
      <c r="E15" s="25">
        <f t="shared" si="2"/>
        <v>1206708300</v>
      </c>
      <c r="F15" s="25">
        <f t="shared" si="2"/>
        <v>1267043715</v>
      </c>
      <c r="G15" s="25">
        <f t="shared" si="2"/>
        <v>1330395901</v>
      </c>
      <c r="H15" s="25">
        <f t="shared" si="2"/>
        <v>1396915696</v>
      </c>
      <c r="I15" s="25">
        <f t="shared" si="2"/>
        <v>1466761481</v>
      </c>
      <c r="J15" s="25">
        <f t="shared" si="2"/>
        <v>1540099555</v>
      </c>
      <c r="K15" s="120">
        <f t="shared" si="2"/>
        <v>1617104533</v>
      </c>
    </row>
    <row r="16" spans="1:11" ht="19.5" customHeight="1">
      <c r="A16" s="121" t="s">
        <v>4</v>
      </c>
      <c r="B16" s="99">
        <v>1000000000</v>
      </c>
      <c r="C16" s="27">
        <f>+ROUND(B16*(100+$B$8)%,0)</f>
        <v>1050000000</v>
      </c>
      <c r="D16" s="27">
        <f aca="true" t="shared" si="3" ref="D16:K16">+ROUND(C16*(100+$B$8)%,0)</f>
        <v>1102500000</v>
      </c>
      <c r="E16" s="27">
        <f t="shared" si="3"/>
        <v>1157625000</v>
      </c>
      <c r="F16" s="27">
        <f t="shared" si="3"/>
        <v>1215506250</v>
      </c>
      <c r="G16" s="27">
        <f t="shared" si="3"/>
        <v>1276281563</v>
      </c>
      <c r="H16" s="27">
        <f t="shared" si="3"/>
        <v>1340095641</v>
      </c>
      <c r="I16" s="27">
        <f t="shared" si="3"/>
        <v>1407100423</v>
      </c>
      <c r="J16" s="27">
        <f t="shared" si="3"/>
        <v>1477455444</v>
      </c>
      <c r="K16" s="122">
        <f t="shared" si="3"/>
        <v>1551328216</v>
      </c>
    </row>
    <row r="17" spans="1:11" ht="19.5" customHeight="1">
      <c r="A17" s="121" t="s">
        <v>5</v>
      </c>
      <c r="B17" s="41">
        <v>42400000</v>
      </c>
      <c r="C17" s="27">
        <f>+ROUND(B17*(100+$B$8)%,0)</f>
        <v>44520000</v>
      </c>
      <c r="D17" s="27">
        <f aca="true" t="shared" si="4" ref="D17:K17">+ROUND(C17*(100+$B$8)%,0)</f>
        <v>46746000</v>
      </c>
      <c r="E17" s="27">
        <f t="shared" si="4"/>
        <v>49083300</v>
      </c>
      <c r="F17" s="27">
        <f t="shared" si="4"/>
        <v>51537465</v>
      </c>
      <c r="G17" s="27">
        <f t="shared" si="4"/>
        <v>54114338</v>
      </c>
      <c r="H17" s="27">
        <f t="shared" si="4"/>
        <v>56820055</v>
      </c>
      <c r="I17" s="27">
        <f t="shared" si="4"/>
        <v>59661058</v>
      </c>
      <c r="J17" s="27">
        <f t="shared" si="4"/>
        <v>62644111</v>
      </c>
      <c r="K17" s="122">
        <f t="shared" si="4"/>
        <v>65776317</v>
      </c>
    </row>
    <row r="18" spans="1:11" ht="19.5" customHeight="1">
      <c r="A18" s="121"/>
      <c r="B18" s="41"/>
      <c r="C18" s="27"/>
      <c r="D18" s="27"/>
      <c r="E18" s="27"/>
      <c r="F18" s="27"/>
      <c r="G18" s="27"/>
      <c r="H18" s="27"/>
      <c r="I18" s="27"/>
      <c r="J18" s="27"/>
      <c r="K18" s="122"/>
    </row>
    <row r="19" spans="1:11" ht="19.5" customHeight="1">
      <c r="A19" s="119" t="s">
        <v>6</v>
      </c>
      <c r="B19" s="38">
        <f>SUM(B20:B26)</f>
        <v>6761100000</v>
      </c>
      <c r="C19" s="25">
        <f aca="true" t="shared" si="5" ref="C19:K19">+C20+SUM(C22:C26)</f>
        <v>6469155000</v>
      </c>
      <c r="D19" s="25">
        <f t="shared" si="5"/>
        <v>6792612750</v>
      </c>
      <c r="E19" s="25">
        <f t="shared" si="5"/>
        <v>7132243388</v>
      </c>
      <c r="F19" s="25">
        <f t="shared" si="5"/>
        <v>7488855558</v>
      </c>
      <c r="G19" s="25">
        <f t="shared" si="5"/>
        <v>7863298337</v>
      </c>
      <c r="H19" s="25">
        <f t="shared" si="5"/>
        <v>8256463253</v>
      </c>
      <c r="I19" s="25">
        <f t="shared" si="5"/>
        <v>8669286417</v>
      </c>
      <c r="J19" s="25">
        <f t="shared" si="5"/>
        <v>9102750739</v>
      </c>
      <c r="K19" s="120">
        <f t="shared" si="5"/>
        <v>9557888275</v>
      </c>
    </row>
    <row r="20" spans="1:11" ht="19.5" customHeight="1">
      <c r="A20" s="121" t="s">
        <v>7</v>
      </c>
      <c r="B20" s="41">
        <v>5200000000</v>
      </c>
      <c r="C20" s="27">
        <f aca="true" t="shared" si="6" ref="C20:K20">+ROUND(B20*(100+$B$8)%,0)</f>
        <v>5460000000</v>
      </c>
      <c r="D20" s="27">
        <f t="shared" si="6"/>
        <v>5733000000</v>
      </c>
      <c r="E20" s="27">
        <f t="shared" si="6"/>
        <v>6019650000</v>
      </c>
      <c r="F20" s="27">
        <f t="shared" si="6"/>
        <v>6320632500</v>
      </c>
      <c r="G20" s="27">
        <f t="shared" si="6"/>
        <v>6636664125</v>
      </c>
      <c r="H20" s="27">
        <f t="shared" si="6"/>
        <v>6968497331</v>
      </c>
      <c r="I20" s="27">
        <f t="shared" si="6"/>
        <v>7316922198</v>
      </c>
      <c r="J20" s="27">
        <f t="shared" si="6"/>
        <v>7682768308</v>
      </c>
      <c r="K20" s="122">
        <f t="shared" si="6"/>
        <v>8066906723</v>
      </c>
    </row>
    <row r="21" spans="1:11" ht="19.5" customHeight="1">
      <c r="A21" s="121" t="s">
        <v>8</v>
      </c>
      <c r="B21" s="41">
        <v>600000000</v>
      </c>
      <c r="C21" s="27">
        <f aca="true" t="shared" si="7" ref="C21:K26">+ROUND(B21*(100+$B$8)%,0)</f>
        <v>630000000</v>
      </c>
      <c r="D21" s="27">
        <f t="shared" si="7"/>
        <v>661500000</v>
      </c>
      <c r="E21" s="27">
        <f t="shared" si="7"/>
        <v>694575000</v>
      </c>
      <c r="F21" s="27">
        <f t="shared" si="7"/>
        <v>729303750</v>
      </c>
      <c r="G21" s="27">
        <f t="shared" si="7"/>
        <v>765768938</v>
      </c>
      <c r="H21" s="27">
        <f t="shared" si="7"/>
        <v>804057385</v>
      </c>
      <c r="I21" s="27">
        <f t="shared" si="7"/>
        <v>844260254</v>
      </c>
      <c r="J21" s="27">
        <f t="shared" si="7"/>
        <v>886473267</v>
      </c>
      <c r="K21" s="122">
        <f t="shared" si="7"/>
        <v>930796930</v>
      </c>
    </row>
    <row r="22" spans="1:11" ht="19.5" customHeight="1">
      <c r="A22" s="123" t="s">
        <v>39</v>
      </c>
      <c r="B22" s="37">
        <f>+B20*15%</f>
        <v>780000000</v>
      </c>
      <c r="C22" s="27">
        <f t="shared" si="7"/>
        <v>819000000</v>
      </c>
      <c r="D22" s="27">
        <f t="shared" si="7"/>
        <v>859950000</v>
      </c>
      <c r="E22" s="27">
        <f t="shared" si="7"/>
        <v>902947500</v>
      </c>
      <c r="F22" s="27">
        <f t="shared" si="7"/>
        <v>948094875</v>
      </c>
      <c r="G22" s="27">
        <f t="shared" si="7"/>
        <v>995499619</v>
      </c>
      <c r="H22" s="27">
        <f t="shared" si="7"/>
        <v>1045274600</v>
      </c>
      <c r="I22" s="27">
        <f t="shared" si="7"/>
        <v>1097538330</v>
      </c>
      <c r="J22" s="27">
        <f t="shared" si="7"/>
        <v>1152415247</v>
      </c>
      <c r="K22" s="122">
        <f t="shared" si="7"/>
        <v>1210036009</v>
      </c>
    </row>
    <row r="23" spans="1:11" ht="19.5" customHeight="1">
      <c r="A23" s="124" t="s">
        <v>40</v>
      </c>
      <c r="B23" s="37">
        <v>1000000</v>
      </c>
      <c r="C23" s="27">
        <f t="shared" si="7"/>
        <v>1050000</v>
      </c>
      <c r="D23" s="27">
        <f t="shared" si="7"/>
        <v>1102500</v>
      </c>
      <c r="E23" s="27">
        <f t="shared" si="7"/>
        <v>1157625</v>
      </c>
      <c r="F23" s="27">
        <f t="shared" si="7"/>
        <v>1215506</v>
      </c>
      <c r="G23" s="27">
        <f t="shared" si="7"/>
        <v>1276281</v>
      </c>
      <c r="H23" s="27">
        <f t="shared" si="7"/>
        <v>1340095</v>
      </c>
      <c r="I23" s="27">
        <f t="shared" si="7"/>
        <v>1407100</v>
      </c>
      <c r="J23" s="27">
        <f t="shared" si="7"/>
        <v>1477455</v>
      </c>
      <c r="K23" s="122">
        <f t="shared" si="7"/>
        <v>1551328</v>
      </c>
    </row>
    <row r="24" spans="1:11" ht="19.5" customHeight="1">
      <c r="A24" s="121" t="s">
        <v>10</v>
      </c>
      <c r="B24" s="41">
        <v>50000000</v>
      </c>
      <c r="C24" s="27">
        <f t="shared" si="7"/>
        <v>52500000</v>
      </c>
      <c r="D24" s="27">
        <f t="shared" si="7"/>
        <v>55125000</v>
      </c>
      <c r="E24" s="27">
        <f t="shared" si="7"/>
        <v>57881250</v>
      </c>
      <c r="F24" s="27">
        <f t="shared" si="7"/>
        <v>60775313</v>
      </c>
      <c r="G24" s="27">
        <f t="shared" si="7"/>
        <v>63814079</v>
      </c>
      <c r="H24" s="27">
        <f t="shared" si="7"/>
        <v>67004783</v>
      </c>
      <c r="I24" s="27">
        <f t="shared" si="7"/>
        <v>70355022</v>
      </c>
      <c r="J24" s="27">
        <f t="shared" si="7"/>
        <v>73872773</v>
      </c>
      <c r="K24" s="122">
        <f t="shared" si="7"/>
        <v>77566412</v>
      </c>
    </row>
    <row r="25" spans="1:11" ht="19.5" customHeight="1">
      <c r="A25" s="125" t="s">
        <v>41</v>
      </c>
      <c r="B25" s="100">
        <v>100000</v>
      </c>
      <c r="C25" s="27">
        <f t="shared" si="7"/>
        <v>105000</v>
      </c>
      <c r="D25" s="27">
        <f t="shared" si="7"/>
        <v>110250</v>
      </c>
      <c r="E25" s="27">
        <f t="shared" si="7"/>
        <v>115763</v>
      </c>
      <c r="F25" s="27">
        <f t="shared" si="7"/>
        <v>121551</v>
      </c>
      <c r="G25" s="27">
        <f t="shared" si="7"/>
        <v>127629</v>
      </c>
      <c r="H25" s="27">
        <f t="shared" si="7"/>
        <v>134010</v>
      </c>
      <c r="I25" s="27">
        <f t="shared" si="7"/>
        <v>140711</v>
      </c>
      <c r="J25" s="27">
        <f t="shared" si="7"/>
        <v>147747</v>
      </c>
      <c r="K25" s="122">
        <f t="shared" si="7"/>
        <v>155134</v>
      </c>
    </row>
    <row r="26" spans="1:11" ht="19.5" customHeight="1" thickBot="1">
      <c r="A26" s="126" t="s">
        <v>13</v>
      </c>
      <c r="B26" s="127">
        <v>130000000</v>
      </c>
      <c r="C26" s="128">
        <f t="shared" si="7"/>
        <v>136500000</v>
      </c>
      <c r="D26" s="128">
        <f t="shared" si="7"/>
        <v>143325000</v>
      </c>
      <c r="E26" s="128">
        <f t="shared" si="7"/>
        <v>150491250</v>
      </c>
      <c r="F26" s="128">
        <f t="shared" si="7"/>
        <v>158015813</v>
      </c>
      <c r="G26" s="128">
        <f t="shared" si="7"/>
        <v>165916604</v>
      </c>
      <c r="H26" s="128">
        <f t="shared" si="7"/>
        <v>174212434</v>
      </c>
      <c r="I26" s="128">
        <f t="shared" si="7"/>
        <v>182923056</v>
      </c>
      <c r="J26" s="128">
        <f t="shared" si="7"/>
        <v>192069209</v>
      </c>
      <c r="K26" s="129">
        <f t="shared" si="7"/>
        <v>201672669</v>
      </c>
    </row>
    <row r="27" spans="1:11" ht="19.5" customHeight="1">
      <c r="A27" s="32"/>
      <c r="B27" s="101"/>
      <c r="C27" s="17"/>
      <c r="D27" s="17"/>
      <c r="E27" s="17"/>
      <c r="F27" s="17"/>
      <c r="G27" s="17"/>
      <c r="H27" s="17"/>
      <c r="I27" s="17"/>
      <c r="J27" s="17"/>
      <c r="K27" s="17"/>
    </row>
    <row r="28" spans="1:11" ht="19.5" customHeight="1">
      <c r="A28" s="32"/>
      <c r="B28" s="101"/>
      <c r="C28" s="17"/>
      <c r="D28" s="17"/>
      <c r="E28" s="17"/>
      <c r="F28" s="17"/>
      <c r="G28" s="17"/>
      <c r="H28" s="17"/>
      <c r="I28" s="17"/>
      <c r="J28" s="17"/>
      <c r="K28" s="17"/>
    </row>
    <row r="29" spans="1:11" ht="19.5" customHeight="1">
      <c r="A29" s="32"/>
      <c r="B29" s="101"/>
      <c r="C29" s="17"/>
      <c r="D29" s="17"/>
      <c r="E29" s="17"/>
      <c r="F29" s="17"/>
      <c r="G29" s="17"/>
      <c r="H29" s="17"/>
      <c r="I29" s="17"/>
      <c r="J29" s="17"/>
      <c r="K29" s="17"/>
    </row>
    <row r="30" spans="1:11" ht="19.5" customHeight="1">
      <c r="A30" s="32"/>
      <c r="B30" s="101"/>
      <c r="C30" s="17"/>
      <c r="D30" s="17"/>
      <c r="E30" s="17"/>
      <c r="F30" s="17"/>
      <c r="G30" s="17"/>
      <c r="H30" s="17"/>
      <c r="I30" s="17"/>
      <c r="J30" s="17"/>
      <c r="K30" s="17"/>
    </row>
    <row r="31" spans="1:11" ht="19.5" customHeight="1">
      <c r="A31" s="32"/>
      <c r="B31" s="101"/>
      <c r="C31" s="17"/>
      <c r="D31" s="17"/>
      <c r="E31" s="17"/>
      <c r="F31" s="17"/>
      <c r="G31" s="17"/>
      <c r="H31" s="17"/>
      <c r="I31" s="17"/>
      <c r="J31" s="17"/>
      <c r="K31" s="17"/>
    </row>
    <row r="32" spans="1:11" ht="19.5" customHeight="1">
      <c r="A32" s="32"/>
      <c r="B32" s="101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9.5" customHeight="1">
      <c r="A33" s="32"/>
      <c r="B33" s="101"/>
      <c r="C33" s="17"/>
      <c r="D33" s="17"/>
      <c r="E33" s="17"/>
      <c r="F33" s="17"/>
      <c r="G33" s="17"/>
      <c r="H33" s="17"/>
      <c r="I33" s="17"/>
      <c r="J33" s="17"/>
      <c r="K33" s="17"/>
    </row>
    <row r="34" spans="1:11" ht="19.5" customHeight="1">
      <c r="A34" s="32"/>
      <c r="B34" s="101"/>
      <c r="C34" s="17"/>
      <c r="D34" s="17"/>
      <c r="E34" s="17"/>
      <c r="F34" s="17"/>
      <c r="G34" s="17"/>
      <c r="H34" s="17"/>
      <c r="I34" s="17"/>
      <c r="J34" s="17"/>
      <c r="K34" s="17"/>
    </row>
    <row r="35" spans="1:11" ht="19.5" customHeight="1">
      <c r="A35" s="1" t="s">
        <v>38</v>
      </c>
      <c r="B35" s="24" t="s">
        <v>191</v>
      </c>
      <c r="C35" s="24" t="s">
        <v>192</v>
      </c>
      <c r="D35" s="24" t="s">
        <v>193</v>
      </c>
      <c r="E35" s="24" t="s">
        <v>194</v>
      </c>
      <c r="F35" s="24" t="s">
        <v>195</v>
      </c>
      <c r="G35" s="24" t="s">
        <v>196</v>
      </c>
      <c r="H35" s="24" t="s">
        <v>197</v>
      </c>
      <c r="I35" s="24" t="s">
        <v>198</v>
      </c>
      <c r="J35" s="24" t="s">
        <v>199</v>
      </c>
      <c r="K35" s="24" t="s">
        <v>199</v>
      </c>
    </row>
    <row r="36" spans="1:11" ht="19.5" customHeight="1">
      <c r="A36" s="4" t="s">
        <v>11</v>
      </c>
      <c r="B36" s="40">
        <f>+B37+B40+B44+B47+B49+B51+B53+B56</f>
        <v>114300000</v>
      </c>
      <c r="C36" s="13">
        <f aca="true" t="shared" si="8" ref="C36:K36">+C37+C40+C44+C47+C49+C51+C53+C56</f>
        <v>120015000</v>
      </c>
      <c r="D36" s="13">
        <f t="shared" si="8"/>
        <v>126015750</v>
      </c>
      <c r="E36" s="13">
        <f t="shared" si="8"/>
        <v>132316539</v>
      </c>
      <c r="F36" s="13">
        <f t="shared" si="8"/>
        <v>138932368</v>
      </c>
      <c r="G36" s="13">
        <f t="shared" si="8"/>
        <v>145878988</v>
      </c>
      <c r="H36" s="13">
        <f t="shared" si="8"/>
        <v>153172938</v>
      </c>
      <c r="I36" s="13">
        <f t="shared" si="8"/>
        <v>160831587</v>
      </c>
      <c r="J36" s="13">
        <f t="shared" si="8"/>
        <v>168873166</v>
      </c>
      <c r="K36" s="13">
        <f t="shared" si="8"/>
        <v>177316824</v>
      </c>
    </row>
    <row r="37" spans="1:11" ht="19.5" customHeight="1">
      <c r="A37" s="2" t="s">
        <v>43</v>
      </c>
      <c r="B37" s="38">
        <f>+B38+B39</f>
        <v>20100000</v>
      </c>
      <c r="C37" s="25">
        <f aca="true" t="shared" si="9" ref="C37:J37">+C38+C39</f>
        <v>21105000</v>
      </c>
      <c r="D37" s="25">
        <f t="shared" si="9"/>
        <v>22160250</v>
      </c>
      <c r="E37" s="25">
        <f t="shared" si="9"/>
        <v>23268263</v>
      </c>
      <c r="F37" s="25">
        <f t="shared" si="9"/>
        <v>24431676</v>
      </c>
      <c r="G37" s="25">
        <f t="shared" si="9"/>
        <v>25653260</v>
      </c>
      <c r="H37" s="25">
        <f t="shared" si="9"/>
        <v>26935923</v>
      </c>
      <c r="I37" s="25">
        <f t="shared" si="9"/>
        <v>28282720</v>
      </c>
      <c r="J37" s="25">
        <f t="shared" si="9"/>
        <v>29696856</v>
      </c>
      <c r="K37" s="25">
        <f>+K38+K39</f>
        <v>31181698</v>
      </c>
    </row>
    <row r="38" spans="1:11" ht="19.5" customHeight="1">
      <c r="A38" s="26" t="s">
        <v>12</v>
      </c>
      <c r="B38" s="41">
        <v>20000000</v>
      </c>
      <c r="C38" s="27">
        <f aca="true" t="shared" si="10" ref="C38:K38">+ROUND(B38*(100+$B$8)%,0)</f>
        <v>21000000</v>
      </c>
      <c r="D38" s="27">
        <f t="shared" si="10"/>
        <v>22050000</v>
      </c>
      <c r="E38" s="27">
        <f t="shared" si="10"/>
        <v>23152500</v>
      </c>
      <c r="F38" s="27">
        <f t="shared" si="10"/>
        <v>24310125</v>
      </c>
      <c r="G38" s="27">
        <f t="shared" si="10"/>
        <v>25525631</v>
      </c>
      <c r="H38" s="27">
        <f t="shared" si="10"/>
        <v>26801913</v>
      </c>
      <c r="I38" s="27">
        <f t="shared" si="10"/>
        <v>28142009</v>
      </c>
      <c r="J38" s="27">
        <f t="shared" si="10"/>
        <v>29549109</v>
      </c>
      <c r="K38" s="27">
        <f t="shared" si="10"/>
        <v>31026564</v>
      </c>
    </row>
    <row r="39" spans="1:11" ht="19.5" customHeight="1">
      <c r="A39" s="26" t="s">
        <v>9</v>
      </c>
      <c r="B39" s="41">
        <v>100000</v>
      </c>
      <c r="C39" s="27">
        <f aca="true" t="shared" si="11" ref="C39:K39">+ROUND(B39*(100+$B$8)%,0)</f>
        <v>105000</v>
      </c>
      <c r="D39" s="27">
        <f t="shared" si="11"/>
        <v>110250</v>
      </c>
      <c r="E39" s="27">
        <f t="shared" si="11"/>
        <v>115763</v>
      </c>
      <c r="F39" s="27">
        <f t="shared" si="11"/>
        <v>121551</v>
      </c>
      <c r="G39" s="27">
        <f t="shared" si="11"/>
        <v>127629</v>
      </c>
      <c r="H39" s="27">
        <f t="shared" si="11"/>
        <v>134010</v>
      </c>
      <c r="I39" s="27">
        <f t="shared" si="11"/>
        <v>140711</v>
      </c>
      <c r="J39" s="27">
        <f t="shared" si="11"/>
        <v>147747</v>
      </c>
      <c r="K39" s="27">
        <f t="shared" si="11"/>
        <v>155134</v>
      </c>
    </row>
    <row r="40" spans="1:11" ht="19.5" customHeight="1">
      <c r="A40" s="2" t="s">
        <v>44</v>
      </c>
      <c r="B40" s="102">
        <f>+B41</f>
        <v>200000</v>
      </c>
      <c r="C40" s="25">
        <f aca="true" t="shared" si="12" ref="C40:K40">+C41</f>
        <v>210000</v>
      </c>
      <c r="D40" s="25">
        <f t="shared" si="12"/>
        <v>220500</v>
      </c>
      <c r="E40" s="25">
        <f t="shared" si="12"/>
        <v>231526</v>
      </c>
      <c r="F40" s="25">
        <f t="shared" si="12"/>
        <v>243102</v>
      </c>
      <c r="G40" s="25">
        <f t="shared" si="12"/>
        <v>255258</v>
      </c>
      <c r="H40" s="25">
        <f t="shared" si="12"/>
        <v>268020</v>
      </c>
      <c r="I40" s="25">
        <f t="shared" si="12"/>
        <v>281422</v>
      </c>
      <c r="J40" s="25">
        <f t="shared" si="12"/>
        <v>295494</v>
      </c>
      <c r="K40" s="25">
        <f t="shared" si="12"/>
        <v>310268</v>
      </c>
    </row>
    <row r="41" spans="1:11" ht="19.5" customHeight="1">
      <c r="A41" s="30" t="s">
        <v>45</v>
      </c>
      <c r="B41" s="41">
        <f>+B42+B43</f>
        <v>200000</v>
      </c>
      <c r="C41" s="27">
        <f aca="true" t="shared" si="13" ref="C41:K41">+C42+C43</f>
        <v>210000</v>
      </c>
      <c r="D41" s="27">
        <f t="shared" si="13"/>
        <v>220500</v>
      </c>
      <c r="E41" s="27">
        <f t="shared" si="13"/>
        <v>231526</v>
      </c>
      <c r="F41" s="27">
        <f t="shared" si="13"/>
        <v>243102</v>
      </c>
      <c r="G41" s="27">
        <f t="shared" si="13"/>
        <v>255258</v>
      </c>
      <c r="H41" s="27">
        <f t="shared" si="13"/>
        <v>268020</v>
      </c>
      <c r="I41" s="27">
        <f t="shared" si="13"/>
        <v>281422</v>
      </c>
      <c r="J41" s="27">
        <f t="shared" si="13"/>
        <v>295494</v>
      </c>
      <c r="K41" s="27">
        <f t="shared" si="13"/>
        <v>310268</v>
      </c>
    </row>
    <row r="42" spans="1:11" ht="19.5" customHeight="1">
      <c r="A42" s="30" t="s">
        <v>46</v>
      </c>
      <c r="B42" s="41">
        <v>100000</v>
      </c>
      <c r="C42" s="27">
        <f aca="true" t="shared" si="14" ref="C42:K42">+ROUND(B42*(100+$B$8)%,0)</f>
        <v>105000</v>
      </c>
      <c r="D42" s="27">
        <f t="shared" si="14"/>
        <v>110250</v>
      </c>
      <c r="E42" s="27">
        <f t="shared" si="14"/>
        <v>115763</v>
      </c>
      <c r="F42" s="27">
        <f t="shared" si="14"/>
        <v>121551</v>
      </c>
      <c r="G42" s="27">
        <f t="shared" si="14"/>
        <v>127629</v>
      </c>
      <c r="H42" s="27">
        <f t="shared" si="14"/>
        <v>134010</v>
      </c>
      <c r="I42" s="27">
        <f t="shared" si="14"/>
        <v>140711</v>
      </c>
      <c r="J42" s="27">
        <f t="shared" si="14"/>
        <v>147747</v>
      </c>
      <c r="K42" s="27">
        <f t="shared" si="14"/>
        <v>155134</v>
      </c>
    </row>
    <row r="43" spans="1:11" ht="19.5" customHeight="1">
      <c r="A43" s="30" t="s">
        <v>47</v>
      </c>
      <c r="B43" s="41">
        <v>100000</v>
      </c>
      <c r="C43" s="27">
        <f aca="true" t="shared" si="15" ref="C43:K43">+ROUND(B43*(100+$B$8)%,0)</f>
        <v>105000</v>
      </c>
      <c r="D43" s="27">
        <f t="shared" si="15"/>
        <v>110250</v>
      </c>
      <c r="E43" s="27">
        <f t="shared" si="15"/>
        <v>115763</v>
      </c>
      <c r="F43" s="27">
        <f t="shared" si="15"/>
        <v>121551</v>
      </c>
      <c r="G43" s="27">
        <f t="shared" si="15"/>
        <v>127629</v>
      </c>
      <c r="H43" s="27">
        <f t="shared" si="15"/>
        <v>134010</v>
      </c>
      <c r="I43" s="27">
        <f t="shared" si="15"/>
        <v>140711</v>
      </c>
      <c r="J43" s="27">
        <f t="shared" si="15"/>
        <v>147747</v>
      </c>
      <c r="K43" s="27">
        <f t="shared" si="15"/>
        <v>155134</v>
      </c>
    </row>
    <row r="44" spans="1:11" ht="19.5" customHeight="1">
      <c r="A44" s="2" t="s">
        <v>48</v>
      </c>
      <c r="B44" s="38">
        <f>+B45+B46</f>
        <v>18000000</v>
      </c>
      <c r="C44" s="31">
        <f aca="true" t="shared" si="16" ref="C44:K44">+C45+C46</f>
        <v>18900000</v>
      </c>
      <c r="D44" s="31">
        <f t="shared" si="16"/>
        <v>19845000</v>
      </c>
      <c r="E44" s="31">
        <f t="shared" si="16"/>
        <v>20837250</v>
      </c>
      <c r="F44" s="31">
        <f t="shared" si="16"/>
        <v>21879113</v>
      </c>
      <c r="G44" s="31">
        <f t="shared" si="16"/>
        <v>22973069</v>
      </c>
      <c r="H44" s="31">
        <f t="shared" si="16"/>
        <v>24121723</v>
      </c>
      <c r="I44" s="31">
        <f t="shared" si="16"/>
        <v>25327809</v>
      </c>
      <c r="J44" s="31">
        <f t="shared" si="16"/>
        <v>26594199</v>
      </c>
      <c r="K44" s="31">
        <f t="shared" si="16"/>
        <v>27923909</v>
      </c>
    </row>
    <row r="45" spans="1:11" ht="19.5" customHeight="1">
      <c r="A45" s="26" t="s">
        <v>49</v>
      </c>
      <c r="B45" s="37">
        <v>8000000</v>
      </c>
      <c r="C45" s="27">
        <f aca="true" t="shared" si="17" ref="C45:K45">+ROUND(B45*(100+$B$8)%,0)</f>
        <v>8400000</v>
      </c>
      <c r="D45" s="27">
        <f t="shared" si="17"/>
        <v>8820000</v>
      </c>
      <c r="E45" s="27">
        <f t="shared" si="17"/>
        <v>9261000</v>
      </c>
      <c r="F45" s="27">
        <f t="shared" si="17"/>
        <v>9724050</v>
      </c>
      <c r="G45" s="27">
        <f t="shared" si="17"/>
        <v>10210253</v>
      </c>
      <c r="H45" s="27">
        <f t="shared" si="17"/>
        <v>10720766</v>
      </c>
      <c r="I45" s="27">
        <f t="shared" si="17"/>
        <v>11256804</v>
      </c>
      <c r="J45" s="27">
        <f t="shared" si="17"/>
        <v>11819644</v>
      </c>
      <c r="K45" s="27">
        <f t="shared" si="17"/>
        <v>12410626</v>
      </c>
    </row>
    <row r="46" spans="1:11" ht="19.5" customHeight="1">
      <c r="A46" s="29" t="s">
        <v>50</v>
      </c>
      <c r="B46" s="41">
        <v>10000000</v>
      </c>
      <c r="C46" s="27">
        <f aca="true" t="shared" si="18" ref="C46:K46">+ROUND(B46*(100+$B$8)%,0)</f>
        <v>10500000</v>
      </c>
      <c r="D46" s="27">
        <f t="shared" si="18"/>
        <v>11025000</v>
      </c>
      <c r="E46" s="27">
        <f t="shared" si="18"/>
        <v>11576250</v>
      </c>
      <c r="F46" s="27">
        <f t="shared" si="18"/>
        <v>12155063</v>
      </c>
      <c r="G46" s="27">
        <f t="shared" si="18"/>
        <v>12762816</v>
      </c>
      <c r="H46" s="27">
        <f t="shared" si="18"/>
        <v>13400957</v>
      </c>
      <c r="I46" s="27">
        <f t="shared" si="18"/>
        <v>14071005</v>
      </c>
      <c r="J46" s="27">
        <f t="shared" si="18"/>
        <v>14774555</v>
      </c>
      <c r="K46" s="27">
        <f t="shared" si="18"/>
        <v>15513283</v>
      </c>
    </row>
    <row r="47" spans="1:11" ht="19.5" customHeight="1">
      <c r="A47" s="7" t="s">
        <v>51</v>
      </c>
      <c r="B47" s="39">
        <f aca="true" t="shared" si="19" ref="B47:K47">+B48</f>
        <v>50000000</v>
      </c>
      <c r="C47" s="39">
        <f t="shared" si="19"/>
        <v>52500000</v>
      </c>
      <c r="D47" s="39">
        <f t="shared" si="19"/>
        <v>55125000</v>
      </c>
      <c r="E47" s="39">
        <f t="shared" si="19"/>
        <v>57881250</v>
      </c>
      <c r="F47" s="39">
        <f t="shared" si="19"/>
        <v>60775313</v>
      </c>
      <c r="G47" s="39">
        <f t="shared" si="19"/>
        <v>63814079</v>
      </c>
      <c r="H47" s="39">
        <f t="shared" si="19"/>
        <v>67004783</v>
      </c>
      <c r="I47" s="39">
        <f t="shared" si="19"/>
        <v>70355022</v>
      </c>
      <c r="J47" s="39">
        <f t="shared" si="19"/>
        <v>73872773</v>
      </c>
      <c r="K47" s="39">
        <f t="shared" si="19"/>
        <v>77566412</v>
      </c>
    </row>
    <row r="48" spans="1:11" ht="19.5" customHeight="1">
      <c r="A48" s="33" t="s">
        <v>228</v>
      </c>
      <c r="B48" s="41">
        <v>50000000</v>
      </c>
      <c r="C48" s="27">
        <f aca="true" t="shared" si="20" ref="C48:K48">+ROUND(B48*(100+$B$8)%,0)</f>
        <v>52500000</v>
      </c>
      <c r="D48" s="27">
        <f t="shared" si="20"/>
        <v>55125000</v>
      </c>
      <c r="E48" s="27">
        <f t="shared" si="20"/>
        <v>57881250</v>
      </c>
      <c r="F48" s="27">
        <f t="shared" si="20"/>
        <v>60775313</v>
      </c>
      <c r="G48" s="27">
        <f t="shared" si="20"/>
        <v>63814079</v>
      </c>
      <c r="H48" s="27">
        <f t="shared" si="20"/>
        <v>67004783</v>
      </c>
      <c r="I48" s="27">
        <f t="shared" si="20"/>
        <v>70355022</v>
      </c>
      <c r="J48" s="27">
        <f t="shared" si="20"/>
        <v>73872773</v>
      </c>
      <c r="K48" s="27">
        <f t="shared" si="20"/>
        <v>77566412</v>
      </c>
    </row>
    <row r="49" spans="1:11" ht="19.5" customHeight="1">
      <c r="A49" s="42" t="s">
        <v>52</v>
      </c>
      <c r="B49" s="38">
        <f>+B50</f>
        <v>0</v>
      </c>
      <c r="C49" s="36">
        <f aca="true" t="shared" si="21" ref="C49:K49">+C50</f>
        <v>0</v>
      </c>
      <c r="D49" s="36">
        <f t="shared" si="21"/>
        <v>0</v>
      </c>
      <c r="E49" s="36">
        <f t="shared" si="21"/>
        <v>0</v>
      </c>
      <c r="F49" s="36">
        <f t="shared" si="21"/>
        <v>0</v>
      </c>
      <c r="G49" s="36">
        <f t="shared" si="21"/>
        <v>0</v>
      </c>
      <c r="H49" s="36">
        <f t="shared" si="21"/>
        <v>0</v>
      </c>
      <c r="I49" s="36">
        <f t="shared" si="21"/>
        <v>0</v>
      </c>
      <c r="J49" s="36">
        <f t="shared" si="21"/>
        <v>0</v>
      </c>
      <c r="K49" s="36">
        <f t="shared" si="21"/>
        <v>0</v>
      </c>
    </row>
    <row r="50" spans="1:11" ht="19.5" customHeight="1">
      <c r="A50" s="33" t="s">
        <v>638</v>
      </c>
      <c r="B50" s="41">
        <v>0</v>
      </c>
      <c r="C50" s="27">
        <f aca="true" t="shared" si="22" ref="C50:K50">+ROUND(B50*(100+$B$8)%,0)</f>
        <v>0</v>
      </c>
      <c r="D50" s="27">
        <f t="shared" si="22"/>
        <v>0</v>
      </c>
      <c r="E50" s="27">
        <f t="shared" si="22"/>
        <v>0</v>
      </c>
      <c r="F50" s="27">
        <f t="shared" si="22"/>
        <v>0</v>
      </c>
      <c r="G50" s="27">
        <f t="shared" si="22"/>
        <v>0</v>
      </c>
      <c r="H50" s="27">
        <f t="shared" si="22"/>
        <v>0</v>
      </c>
      <c r="I50" s="27">
        <f t="shared" si="22"/>
        <v>0</v>
      </c>
      <c r="J50" s="27">
        <f t="shared" si="22"/>
        <v>0</v>
      </c>
      <c r="K50" s="27">
        <f t="shared" si="22"/>
        <v>0</v>
      </c>
    </row>
    <row r="51" spans="1:11" ht="19.5" customHeight="1">
      <c r="A51" s="4" t="s">
        <v>14</v>
      </c>
      <c r="B51" s="40">
        <f>+B52</f>
        <v>10000000</v>
      </c>
      <c r="C51" s="40">
        <f aca="true" t="shared" si="23" ref="C51:K51">+C52</f>
        <v>10500000</v>
      </c>
      <c r="D51" s="40">
        <f t="shared" si="23"/>
        <v>11025000</v>
      </c>
      <c r="E51" s="40">
        <f t="shared" si="23"/>
        <v>11576250</v>
      </c>
      <c r="F51" s="40">
        <f t="shared" si="23"/>
        <v>12155063</v>
      </c>
      <c r="G51" s="40">
        <f t="shared" si="23"/>
        <v>12762816</v>
      </c>
      <c r="H51" s="40">
        <f t="shared" si="23"/>
        <v>13400957</v>
      </c>
      <c r="I51" s="40">
        <f t="shared" si="23"/>
        <v>14071005</v>
      </c>
      <c r="J51" s="40">
        <f t="shared" si="23"/>
        <v>14774555</v>
      </c>
      <c r="K51" s="40">
        <f t="shared" si="23"/>
        <v>15513283</v>
      </c>
    </row>
    <row r="52" spans="1:11" ht="19.5" customHeight="1">
      <c r="A52" s="326" t="s">
        <v>14</v>
      </c>
      <c r="B52" s="100">
        <v>10000000</v>
      </c>
      <c r="C52" s="27">
        <f aca="true" t="shared" si="24" ref="C52:K54">+ROUND(B52*(100+$B$8)%,0)</f>
        <v>10500000</v>
      </c>
      <c r="D52" s="27">
        <f t="shared" si="24"/>
        <v>11025000</v>
      </c>
      <c r="E52" s="27">
        <f t="shared" si="24"/>
        <v>11576250</v>
      </c>
      <c r="F52" s="27">
        <f t="shared" si="24"/>
        <v>12155063</v>
      </c>
      <c r="G52" s="27">
        <f t="shared" si="24"/>
        <v>12762816</v>
      </c>
      <c r="H52" s="27">
        <f t="shared" si="24"/>
        <v>13400957</v>
      </c>
      <c r="I52" s="27">
        <f t="shared" si="24"/>
        <v>14071005</v>
      </c>
      <c r="J52" s="27">
        <f t="shared" si="24"/>
        <v>14774555</v>
      </c>
      <c r="K52" s="27">
        <f t="shared" si="24"/>
        <v>15513283</v>
      </c>
    </row>
    <row r="53" spans="1:11" ht="19.5" customHeight="1">
      <c r="A53" s="26" t="s">
        <v>15</v>
      </c>
      <c r="B53" s="38">
        <f>+B54+B55</f>
        <v>12000000</v>
      </c>
      <c r="C53" s="36">
        <f aca="true" t="shared" si="25" ref="C53:K53">+C54+C55</f>
        <v>12600000</v>
      </c>
      <c r="D53" s="36">
        <f t="shared" si="25"/>
        <v>13230000</v>
      </c>
      <c r="E53" s="36">
        <f t="shared" si="25"/>
        <v>13891500</v>
      </c>
      <c r="F53" s="36">
        <f t="shared" si="25"/>
        <v>14586076</v>
      </c>
      <c r="G53" s="36">
        <f t="shared" si="25"/>
        <v>15315380</v>
      </c>
      <c r="H53" s="36">
        <f t="shared" si="25"/>
        <v>16081150</v>
      </c>
      <c r="I53" s="36">
        <f t="shared" si="25"/>
        <v>16885208</v>
      </c>
      <c r="J53" s="36">
        <f t="shared" si="25"/>
        <v>17729468</v>
      </c>
      <c r="K53" s="36">
        <f t="shared" si="25"/>
        <v>18615942</v>
      </c>
    </row>
    <row r="54" spans="1:11" ht="19.5" customHeight="1">
      <c r="A54" s="29" t="s">
        <v>16</v>
      </c>
      <c r="B54" s="41">
        <v>6000000</v>
      </c>
      <c r="C54" s="27">
        <f t="shared" si="24"/>
        <v>6300000</v>
      </c>
      <c r="D54" s="27">
        <f t="shared" si="24"/>
        <v>6615000</v>
      </c>
      <c r="E54" s="27">
        <f t="shared" si="24"/>
        <v>6945750</v>
      </c>
      <c r="F54" s="27">
        <f t="shared" si="24"/>
        <v>7293038</v>
      </c>
      <c r="G54" s="27">
        <f t="shared" si="24"/>
        <v>7657690</v>
      </c>
      <c r="H54" s="27">
        <f t="shared" si="24"/>
        <v>8040575</v>
      </c>
      <c r="I54" s="27">
        <f t="shared" si="24"/>
        <v>8442604</v>
      </c>
      <c r="J54" s="27">
        <f t="shared" si="24"/>
        <v>8864734</v>
      </c>
      <c r="K54" s="27">
        <f t="shared" si="24"/>
        <v>9307971</v>
      </c>
    </row>
    <row r="55" spans="1:11" ht="19.5" customHeight="1">
      <c r="A55" s="29" t="s">
        <v>91</v>
      </c>
      <c r="B55" s="100">
        <v>6000000</v>
      </c>
      <c r="C55" s="27">
        <f aca="true" t="shared" si="26" ref="C55:K55">+ROUND(B55*(100+$B$8)%,0)</f>
        <v>6300000</v>
      </c>
      <c r="D55" s="27">
        <f t="shared" si="26"/>
        <v>6615000</v>
      </c>
      <c r="E55" s="27">
        <f t="shared" si="26"/>
        <v>6945750</v>
      </c>
      <c r="F55" s="27">
        <f t="shared" si="26"/>
        <v>7293038</v>
      </c>
      <c r="G55" s="27">
        <f t="shared" si="26"/>
        <v>7657690</v>
      </c>
      <c r="H55" s="27">
        <f t="shared" si="26"/>
        <v>8040575</v>
      </c>
      <c r="I55" s="27">
        <f t="shared" si="26"/>
        <v>8442604</v>
      </c>
      <c r="J55" s="27">
        <f t="shared" si="26"/>
        <v>8864734</v>
      </c>
      <c r="K55" s="27">
        <f t="shared" si="26"/>
        <v>9307971</v>
      </c>
    </row>
    <row r="56" spans="1:11" ht="19.5" customHeight="1">
      <c r="A56" s="4" t="s">
        <v>54</v>
      </c>
      <c r="B56" s="40">
        <f>+B57</f>
        <v>4000000</v>
      </c>
      <c r="C56" s="25">
        <f aca="true" t="shared" si="27" ref="C56:K57">+C57</f>
        <v>4200000</v>
      </c>
      <c r="D56" s="25">
        <f t="shared" si="27"/>
        <v>4410000</v>
      </c>
      <c r="E56" s="25">
        <f t="shared" si="27"/>
        <v>4630500</v>
      </c>
      <c r="F56" s="25">
        <f t="shared" si="27"/>
        <v>4862025</v>
      </c>
      <c r="G56" s="25">
        <f t="shared" si="27"/>
        <v>5105126</v>
      </c>
      <c r="H56" s="25">
        <f t="shared" si="27"/>
        <v>5360382</v>
      </c>
      <c r="I56" s="25">
        <f t="shared" si="27"/>
        <v>5628401</v>
      </c>
      <c r="J56" s="25">
        <f t="shared" si="27"/>
        <v>5909821</v>
      </c>
      <c r="K56" s="25">
        <f t="shared" si="27"/>
        <v>6205312</v>
      </c>
    </row>
    <row r="57" spans="1:11" ht="19.5" customHeight="1">
      <c r="A57" s="2" t="s">
        <v>55</v>
      </c>
      <c r="B57" s="38">
        <f>+B58</f>
        <v>4000000</v>
      </c>
      <c r="C57" s="36">
        <f t="shared" si="27"/>
        <v>4200000</v>
      </c>
      <c r="D57" s="36">
        <f t="shared" si="27"/>
        <v>4410000</v>
      </c>
      <c r="E57" s="36">
        <f t="shared" si="27"/>
        <v>4630500</v>
      </c>
      <c r="F57" s="36">
        <f t="shared" si="27"/>
        <v>4862025</v>
      </c>
      <c r="G57" s="36">
        <f t="shared" si="27"/>
        <v>5105126</v>
      </c>
      <c r="H57" s="36">
        <f t="shared" si="27"/>
        <v>5360382</v>
      </c>
      <c r="I57" s="36">
        <f t="shared" si="27"/>
        <v>5628401</v>
      </c>
      <c r="J57" s="36">
        <f t="shared" si="27"/>
        <v>5909821</v>
      </c>
      <c r="K57" s="36">
        <f t="shared" si="27"/>
        <v>6205312</v>
      </c>
    </row>
    <row r="58" spans="1:12" ht="19.5" customHeight="1">
      <c r="A58" s="26" t="s">
        <v>24</v>
      </c>
      <c r="B58" s="41">
        <v>4000000</v>
      </c>
      <c r="C58" s="27">
        <f aca="true" t="shared" si="28" ref="C58:K58">+ROUND(B58*(100+$B$8)%,0)</f>
        <v>4200000</v>
      </c>
      <c r="D58" s="27">
        <f t="shared" si="28"/>
        <v>4410000</v>
      </c>
      <c r="E58" s="27">
        <f t="shared" si="28"/>
        <v>4630500</v>
      </c>
      <c r="F58" s="27">
        <f t="shared" si="28"/>
        <v>4862025</v>
      </c>
      <c r="G58" s="27">
        <f t="shared" si="28"/>
        <v>5105126</v>
      </c>
      <c r="H58" s="27">
        <f t="shared" si="28"/>
        <v>5360382</v>
      </c>
      <c r="I58" s="27">
        <f t="shared" si="28"/>
        <v>5628401</v>
      </c>
      <c r="J58" s="27">
        <f t="shared" si="28"/>
        <v>5909821</v>
      </c>
      <c r="K58" s="27">
        <f t="shared" si="28"/>
        <v>6205312</v>
      </c>
      <c r="L58" s="22"/>
    </row>
    <row r="59" spans="1:11" ht="19.5" customHeight="1">
      <c r="A59" s="33"/>
      <c r="B59" s="41"/>
      <c r="C59" s="27"/>
      <c r="D59" s="27"/>
      <c r="E59" s="27"/>
      <c r="F59" s="27"/>
      <c r="G59" s="27"/>
      <c r="H59" s="27"/>
      <c r="I59" s="27"/>
      <c r="J59" s="27"/>
      <c r="K59" s="27"/>
    </row>
    <row r="60" spans="1:11" ht="30" customHeight="1">
      <c r="A60" s="5" t="s">
        <v>64</v>
      </c>
      <c r="B60" s="38">
        <f>+B13</f>
        <v>7917800000</v>
      </c>
      <c r="C60" s="25">
        <f aca="true" t="shared" si="29" ref="C60:K60">+C13</f>
        <v>7683690000</v>
      </c>
      <c r="D60" s="25">
        <f t="shared" si="29"/>
        <v>8067874500</v>
      </c>
      <c r="E60" s="25">
        <f t="shared" si="29"/>
        <v>8471268227</v>
      </c>
      <c r="F60" s="25">
        <f t="shared" si="29"/>
        <v>8894831641</v>
      </c>
      <c r="G60" s="25">
        <f t="shared" si="29"/>
        <v>9339573226</v>
      </c>
      <c r="H60" s="25">
        <f t="shared" si="29"/>
        <v>9806551887</v>
      </c>
      <c r="I60" s="25">
        <f t="shared" si="29"/>
        <v>10296879485</v>
      </c>
      <c r="J60" s="25">
        <f t="shared" si="29"/>
        <v>10811723460</v>
      </c>
      <c r="K60" s="25">
        <f t="shared" si="29"/>
        <v>11352309632</v>
      </c>
    </row>
    <row r="61" spans="1:11" ht="19.5" customHeight="1">
      <c r="A61" s="33"/>
      <c r="B61" s="41"/>
      <c r="C61" s="27"/>
      <c r="D61" s="27"/>
      <c r="E61" s="27"/>
      <c r="F61" s="27"/>
      <c r="G61" s="27"/>
      <c r="H61" s="27"/>
      <c r="I61" s="27"/>
      <c r="J61" s="27"/>
      <c r="K61" s="27"/>
    </row>
    <row r="62" spans="1:11" ht="30" customHeight="1">
      <c r="A62" s="5" t="s">
        <v>65</v>
      </c>
      <c r="B62" s="38">
        <f>+B63</f>
        <v>25000000</v>
      </c>
      <c r="C62" s="25">
        <f aca="true" t="shared" si="30" ref="C62:K64">+C63</f>
        <v>26250000</v>
      </c>
      <c r="D62" s="25">
        <f t="shared" si="30"/>
        <v>27562500</v>
      </c>
      <c r="E62" s="25">
        <f t="shared" si="30"/>
        <v>28940625</v>
      </c>
      <c r="F62" s="25">
        <f t="shared" si="30"/>
        <v>30387656</v>
      </c>
      <c r="G62" s="25">
        <f t="shared" si="30"/>
        <v>31907039</v>
      </c>
      <c r="H62" s="25">
        <f t="shared" si="30"/>
        <v>33502391</v>
      </c>
      <c r="I62" s="25">
        <f t="shared" si="30"/>
        <v>35177511</v>
      </c>
      <c r="J62" s="25">
        <f t="shared" si="30"/>
        <v>36936387</v>
      </c>
      <c r="K62" s="25">
        <f t="shared" si="30"/>
        <v>38783206</v>
      </c>
    </row>
    <row r="63" spans="1:11" ht="19.5" customHeight="1">
      <c r="A63" s="33" t="s">
        <v>37</v>
      </c>
      <c r="B63" s="38">
        <f>+B64</f>
        <v>25000000</v>
      </c>
      <c r="C63" s="25">
        <f t="shared" si="30"/>
        <v>26250000</v>
      </c>
      <c r="D63" s="25">
        <f t="shared" si="30"/>
        <v>27562500</v>
      </c>
      <c r="E63" s="25">
        <f t="shared" si="30"/>
        <v>28940625</v>
      </c>
      <c r="F63" s="25">
        <f t="shared" si="30"/>
        <v>30387656</v>
      </c>
      <c r="G63" s="25">
        <f t="shared" si="30"/>
        <v>31907039</v>
      </c>
      <c r="H63" s="25">
        <f t="shared" si="30"/>
        <v>33502391</v>
      </c>
      <c r="I63" s="25">
        <f t="shared" si="30"/>
        <v>35177511</v>
      </c>
      <c r="J63" s="25">
        <f t="shared" si="30"/>
        <v>36936387</v>
      </c>
      <c r="K63" s="25">
        <f t="shared" si="30"/>
        <v>38783206</v>
      </c>
    </row>
    <row r="64" spans="1:11" ht="19.5" customHeight="1">
      <c r="A64" s="33" t="s">
        <v>204</v>
      </c>
      <c r="B64" s="41">
        <f>+B65</f>
        <v>25000000</v>
      </c>
      <c r="C64" s="27">
        <f t="shared" si="30"/>
        <v>26250000</v>
      </c>
      <c r="D64" s="27">
        <f t="shared" si="30"/>
        <v>27562500</v>
      </c>
      <c r="E64" s="27">
        <f t="shared" si="30"/>
        <v>28940625</v>
      </c>
      <c r="F64" s="27">
        <f t="shared" si="30"/>
        <v>30387656</v>
      </c>
      <c r="G64" s="27">
        <f t="shared" si="30"/>
        <v>31907039</v>
      </c>
      <c r="H64" s="27">
        <f t="shared" si="30"/>
        <v>33502391</v>
      </c>
      <c r="I64" s="27">
        <f t="shared" si="30"/>
        <v>35177511</v>
      </c>
      <c r="J64" s="27">
        <f t="shared" si="30"/>
        <v>36936387</v>
      </c>
      <c r="K64" s="27">
        <f t="shared" si="30"/>
        <v>38783206</v>
      </c>
    </row>
    <row r="65" spans="1:11" ht="27.75" customHeight="1">
      <c r="A65" s="33" t="s">
        <v>60</v>
      </c>
      <c r="B65" s="41">
        <v>25000000</v>
      </c>
      <c r="C65" s="27">
        <f aca="true" t="shared" si="31" ref="C65:K65">+ROUND(B65*(100+$B$8)%,0)</f>
        <v>26250000</v>
      </c>
      <c r="D65" s="27">
        <f t="shared" si="31"/>
        <v>27562500</v>
      </c>
      <c r="E65" s="27">
        <f t="shared" si="31"/>
        <v>28940625</v>
      </c>
      <c r="F65" s="27">
        <f t="shared" si="31"/>
        <v>30387656</v>
      </c>
      <c r="G65" s="27">
        <f t="shared" si="31"/>
        <v>31907039</v>
      </c>
      <c r="H65" s="27">
        <f t="shared" si="31"/>
        <v>33502391</v>
      </c>
      <c r="I65" s="27">
        <f t="shared" si="31"/>
        <v>35177511</v>
      </c>
      <c r="J65" s="27">
        <f t="shared" si="31"/>
        <v>36936387</v>
      </c>
      <c r="K65" s="27">
        <f t="shared" si="31"/>
        <v>38783206</v>
      </c>
    </row>
    <row r="66" spans="1:11" ht="19.5" customHeight="1">
      <c r="A66" s="33"/>
      <c r="B66" s="41"/>
      <c r="C66" s="27"/>
      <c r="D66" s="27"/>
      <c r="E66" s="27"/>
      <c r="F66" s="27"/>
      <c r="G66" s="27"/>
      <c r="H66" s="27"/>
      <c r="I66" s="27"/>
      <c r="J66" s="27"/>
      <c r="K66" s="27"/>
    </row>
    <row r="67" spans="1:11" ht="24.75" customHeight="1">
      <c r="A67" s="5" t="s">
        <v>66</v>
      </c>
      <c r="B67" s="38">
        <f>+B60+B62</f>
        <v>7942800000</v>
      </c>
      <c r="C67" s="25">
        <f aca="true" t="shared" si="32" ref="C67:K67">+C60+C62</f>
        <v>7709940000</v>
      </c>
      <c r="D67" s="25">
        <f t="shared" si="32"/>
        <v>8095437000</v>
      </c>
      <c r="E67" s="25">
        <f t="shared" si="32"/>
        <v>8500208852</v>
      </c>
      <c r="F67" s="25">
        <f t="shared" si="32"/>
        <v>8925219297</v>
      </c>
      <c r="G67" s="25">
        <f t="shared" si="32"/>
        <v>9371480265</v>
      </c>
      <c r="H67" s="25">
        <f t="shared" si="32"/>
        <v>9840054278</v>
      </c>
      <c r="I67" s="25">
        <f t="shared" si="32"/>
        <v>10332056996</v>
      </c>
      <c r="J67" s="25">
        <f t="shared" si="32"/>
        <v>10848659847</v>
      </c>
      <c r="K67" s="25">
        <f t="shared" si="32"/>
        <v>11391092838</v>
      </c>
    </row>
    <row r="68" spans="1:11" ht="19.5" customHeight="1">
      <c r="A68" s="32"/>
      <c r="B68" s="101"/>
      <c r="C68" s="17"/>
      <c r="D68" s="17"/>
      <c r="E68" s="17"/>
      <c r="F68" s="17"/>
      <c r="G68" s="17"/>
      <c r="H68" s="17"/>
      <c r="I68" s="17"/>
      <c r="J68" s="17"/>
      <c r="K68" s="17"/>
    </row>
    <row r="69" spans="1:11" ht="19.5" customHeight="1">
      <c r="A69" s="32"/>
      <c r="B69" s="101"/>
      <c r="C69" s="17"/>
      <c r="D69" s="17"/>
      <c r="E69" s="17"/>
      <c r="F69" s="17"/>
      <c r="G69" s="17"/>
      <c r="H69" s="17"/>
      <c r="I69" s="17"/>
      <c r="J69" s="17"/>
      <c r="K69" s="17"/>
    </row>
    <row r="70" spans="1:11" ht="19.5" customHeight="1">
      <c r="A70" s="377" t="s">
        <v>61</v>
      </c>
      <c r="B70" s="377"/>
      <c r="C70" s="377"/>
      <c r="D70" s="377"/>
      <c r="E70" s="377"/>
      <c r="F70" s="377"/>
      <c r="G70" s="377"/>
      <c r="H70" s="377"/>
      <c r="I70" s="377"/>
      <c r="J70" s="377"/>
      <c r="K70" s="377"/>
    </row>
    <row r="71" spans="1:11" ht="19.5" customHeight="1">
      <c r="A71" s="10"/>
      <c r="B71" s="10"/>
      <c r="C71" s="17"/>
      <c r="D71" s="17"/>
      <c r="E71" s="17"/>
      <c r="F71" s="17"/>
      <c r="G71" s="17"/>
      <c r="H71" s="17"/>
      <c r="I71" s="17"/>
      <c r="J71" s="17"/>
      <c r="K71" s="17"/>
    </row>
    <row r="72" spans="1:12" ht="19.5" customHeight="1">
      <c r="A72" s="1" t="s">
        <v>38</v>
      </c>
      <c r="B72" s="24" t="s">
        <v>191</v>
      </c>
      <c r="C72" s="24" t="s">
        <v>192</v>
      </c>
      <c r="D72" s="24" t="s">
        <v>193</v>
      </c>
      <c r="E72" s="24" t="s">
        <v>194</v>
      </c>
      <c r="F72" s="24" t="s">
        <v>195</v>
      </c>
      <c r="G72" s="24" t="s">
        <v>196</v>
      </c>
      <c r="H72" s="24" t="s">
        <v>197</v>
      </c>
      <c r="I72" s="24" t="s">
        <v>198</v>
      </c>
      <c r="J72" s="24" t="s">
        <v>199</v>
      </c>
      <c r="K72" s="24" t="s">
        <v>199</v>
      </c>
      <c r="L72" s="43"/>
    </row>
    <row r="73" spans="1:11" ht="19.5" customHeight="1">
      <c r="A73" s="6" t="s">
        <v>61</v>
      </c>
      <c r="B73" s="38">
        <f>+B74+B123+B178</f>
        <v>3115178105.67</v>
      </c>
      <c r="C73" s="25">
        <f aca="true" t="shared" si="33" ref="C73:K73">+C74+C123</f>
        <v>2723280713</v>
      </c>
      <c r="D73" s="25">
        <f t="shared" si="33"/>
        <v>2859444748</v>
      </c>
      <c r="E73" s="25">
        <f t="shared" si="33"/>
        <v>3002416985</v>
      </c>
      <c r="F73" s="25">
        <f t="shared" si="33"/>
        <v>3152537836</v>
      </c>
      <c r="G73" s="25">
        <f t="shared" si="33"/>
        <v>3310164729</v>
      </c>
      <c r="H73" s="25">
        <f t="shared" si="33"/>
        <v>3475672967</v>
      </c>
      <c r="I73" s="25">
        <f t="shared" si="33"/>
        <v>3649456616</v>
      </c>
      <c r="J73" s="25">
        <f t="shared" si="33"/>
        <v>3831929446</v>
      </c>
      <c r="K73" s="25">
        <f t="shared" si="33"/>
        <v>4023525918</v>
      </c>
    </row>
    <row r="74" spans="1:11" ht="19.5" customHeight="1">
      <c r="A74" s="5" t="s">
        <v>1</v>
      </c>
      <c r="B74" s="38">
        <f aca="true" t="shared" si="34" ref="B74:K74">+B75+B84</f>
        <v>1768100442</v>
      </c>
      <c r="C74" s="25">
        <f t="shared" si="34"/>
        <v>1470384060</v>
      </c>
      <c r="D74" s="25">
        <f t="shared" si="34"/>
        <v>1543903262</v>
      </c>
      <c r="E74" s="25">
        <f t="shared" si="34"/>
        <v>1621098425</v>
      </c>
      <c r="F74" s="25">
        <f t="shared" si="34"/>
        <v>1702153348</v>
      </c>
      <c r="G74" s="25">
        <f t="shared" si="34"/>
        <v>1787261016</v>
      </c>
      <c r="H74" s="25">
        <f t="shared" si="34"/>
        <v>1876624067</v>
      </c>
      <c r="I74" s="25">
        <f t="shared" si="34"/>
        <v>1970455270</v>
      </c>
      <c r="J74" s="25">
        <f t="shared" si="34"/>
        <v>2068978033</v>
      </c>
      <c r="K74" s="25">
        <f t="shared" si="34"/>
        <v>2172426935</v>
      </c>
    </row>
    <row r="75" spans="1:11" ht="19.5" customHeight="1">
      <c r="A75" s="9" t="s">
        <v>2</v>
      </c>
      <c r="B75" s="38">
        <f aca="true" t="shared" si="35" ref="B75:K75">+B76+B80</f>
        <v>226000000</v>
      </c>
      <c r="C75" s="25">
        <f t="shared" si="35"/>
        <v>237300000</v>
      </c>
      <c r="D75" s="25">
        <f t="shared" si="35"/>
        <v>249165000</v>
      </c>
      <c r="E75" s="25">
        <f t="shared" si="35"/>
        <v>261623250</v>
      </c>
      <c r="F75" s="25">
        <f t="shared" si="35"/>
        <v>274704413</v>
      </c>
      <c r="G75" s="25">
        <f t="shared" si="35"/>
        <v>288439634</v>
      </c>
      <c r="H75" s="25">
        <f t="shared" si="35"/>
        <v>302861616</v>
      </c>
      <c r="I75" s="25">
        <f t="shared" si="35"/>
        <v>318004697</v>
      </c>
      <c r="J75" s="25">
        <f t="shared" si="35"/>
        <v>333904932</v>
      </c>
      <c r="K75" s="25">
        <f t="shared" si="35"/>
        <v>350600179</v>
      </c>
    </row>
    <row r="76" spans="1:11" ht="19.5" customHeight="1">
      <c r="A76" s="8" t="s">
        <v>3</v>
      </c>
      <c r="B76" s="38">
        <f>+B77</f>
        <v>150000000</v>
      </c>
      <c r="C76" s="25">
        <f aca="true" t="shared" si="36" ref="C76:K77">+C77</f>
        <v>157500000</v>
      </c>
      <c r="D76" s="25">
        <f t="shared" si="36"/>
        <v>165375000</v>
      </c>
      <c r="E76" s="25">
        <f t="shared" si="36"/>
        <v>173643750</v>
      </c>
      <c r="F76" s="25">
        <f t="shared" si="36"/>
        <v>182325938</v>
      </c>
      <c r="G76" s="25">
        <f t="shared" si="36"/>
        <v>191442235</v>
      </c>
      <c r="H76" s="25">
        <f t="shared" si="36"/>
        <v>201014347</v>
      </c>
      <c r="I76" s="25">
        <f t="shared" si="36"/>
        <v>211065064</v>
      </c>
      <c r="J76" s="25">
        <f t="shared" si="36"/>
        <v>221618317</v>
      </c>
      <c r="K76" s="25">
        <f t="shared" si="36"/>
        <v>232699233</v>
      </c>
    </row>
    <row r="77" spans="1:11" ht="19.5" customHeight="1">
      <c r="A77" s="8" t="s">
        <v>62</v>
      </c>
      <c r="B77" s="38">
        <f>+B78</f>
        <v>150000000</v>
      </c>
      <c r="C77" s="36">
        <f t="shared" si="36"/>
        <v>157500000</v>
      </c>
      <c r="D77" s="36">
        <f t="shared" si="36"/>
        <v>165375000</v>
      </c>
      <c r="E77" s="36">
        <f t="shared" si="36"/>
        <v>173643750</v>
      </c>
      <c r="F77" s="36">
        <f t="shared" si="36"/>
        <v>182325938</v>
      </c>
      <c r="G77" s="36">
        <f t="shared" si="36"/>
        <v>191442235</v>
      </c>
      <c r="H77" s="36">
        <f t="shared" si="36"/>
        <v>201014347</v>
      </c>
      <c r="I77" s="36">
        <f t="shared" si="36"/>
        <v>211065064</v>
      </c>
      <c r="J77" s="36">
        <f t="shared" si="36"/>
        <v>221618317</v>
      </c>
      <c r="K77" s="36">
        <f t="shared" si="36"/>
        <v>232699233</v>
      </c>
    </row>
    <row r="78" spans="1:11" ht="19.5" customHeight="1">
      <c r="A78" s="3" t="s">
        <v>229</v>
      </c>
      <c r="B78" s="99">
        <f>+B16*15%</f>
        <v>150000000</v>
      </c>
      <c r="C78" s="27">
        <f aca="true" t="shared" si="37" ref="C78:K78">+ROUND(B78*(100+$B$8)%,0)</f>
        <v>157500000</v>
      </c>
      <c r="D78" s="27">
        <f t="shared" si="37"/>
        <v>165375000</v>
      </c>
      <c r="E78" s="27">
        <f t="shared" si="37"/>
        <v>173643750</v>
      </c>
      <c r="F78" s="27">
        <f t="shared" si="37"/>
        <v>182325938</v>
      </c>
      <c r="G78" s="27">
        <f t="shared" si="37"/>
        <v>191442235</v>
      </c>
      <c r="H78" s="27">
        <f t="shared" si="37"/>
        <v>201014347</v>
      </c>
      <c r="I78" s="27">
        <f t="shared" si="37"/>
        <v>211065064</v>
      </c>
      <c r="J78" s="27">
        <f t="shared" si="37"/>
        <v>221618317</v>
      </c>
      <c r="K78" s="27">
        <f t="shared" si="37"/>
        <v>232699233</v>
      </c>
    </row>
    <row r="79" spans="1:11" ht="19.5" customHeight="1">
      <c r="A79" s="33"/>
      <c r="B79" s="41"/>
      <c r="C79" s="27"/>
      <c r="D79" s="27"/>
      <c r="E79" s="27"/>
      <c r="F79" s="27"/>
      <c r="G79" s="27"/>
      <c r="H79" s="27"/>
      <c r="I79" s="27"/>
      <c r="J79" s="27"/>
      <c r="K79" s="27"/>
    </row>
    <row r="80" spans="1:11" ht="19.5" customHeight="1">
      <c r="A80" s="5" t="s">
        <v>6</v>
      </c>
      <c r="B80" s="38">
        <f>+B81+B82</f>
        <v>76000000</v>
      </c>
      <c r="C80" s="25">
        <f aca="true" t="shared" si="38" ref="C80:K80">+C81+C82</f>
        <v>79800000</v>
      </c>
      <c r="D80" s="25">
        <f t="shared" si="38"/>
        <v>83790000</v>
      </c>
      <c r="E80" s="25">
        <f t="shared" si="38"/>
        <v>87979500</v>
      </c>
      <c r="F80" s="25">
        <f t="shared" si="38"/>
        <v>92378475</v>
      </c>
      <c r="G80" s="25">
        <f t="shared" si="38"/>
        <v>96997399</v>
      </c>
      <c r="H80" s="25">
        <f t="shared" si="38"/>
        <v>101847269</v>
      </c>
      <c r="I80" s="25">
        <f t="shared" si="38"/>
        <v>106939633</v>
      </c>
      <c r="J80" s="25">
        <f t="shared" si="38"/>
        <v>112286615</v>
      </c>
      <c r="K80" s="25">
        <f t="shared" si="38"/>
        <v>117900946</v>
      </c>
    </row>
    <row r="81" spans="1:11" ht="37.5" customHeight="1">
      <c r="A81" s="33" t="s">
        <v>637</v>
      </c>
      <c r="B81" s="41">
        <f>+B20*1%</f>
        <v>52000000</v>
      </c>
      <c r="C81" s="27">
        <f aca="true" t="shared" si="39" ref="C81:K81">+ROUND(B81*(100+$B$8)%,0)</f>
        <v>54600000</v>
      </c>
      <c r="D81" s="27">
        <f t="shared" si="39"/>
        <v>57330000</v>
      </c>
      <c r="E81" s="27">
        <f t="shared" si="39"/>
        <v>60196500</v>
      </c>
      <c r="F81" s="27">
        <f t="shared" si="39"/>
        <v>63206325</v>
      </c>
      <c r="G81" s="27">
        <f t="shared" si="39"/>
        <v>66366641</v>
      </c>
      <c r="H81" s="27">
        <f t="shared" si="39"/>
        <v>69684973</v>
      </c>
      <c r="I81" s="27">
        <f t="shared" si="39"/>
        <v>73169222</v>
      </c>
      <c r="J81" s="27">
        <f t="shared" si="39"/>
        <v>76827683</v>
      </c>
      <c r="K81" s="27">
        <f t="shared" si="39"/>
        <v>80669067</v>
      </c>
    </row>
    <row r="82" spans="1:11" ht="19.5" customHeight="1">
      <c r="A82" s="33" t="s">
        <v>42</v>
      </c>
      <c r="B82" s="41">
        <v>24000000</v>
      </c>
      <c r="C82" s="27">
        <f aca="true" t="shared" si="40" ref="C82:K82">+ROUND(B82*(100+$B$8)%,0)</f>
        <v>25200000</v>
      </c>
      <c r="D82" s="27">
        <f t="shared" si="40"/>
        <v>26460000</v>
      </c>
      <c r="E82" s="27">
        <f t="shared" si="40"/>
        <v>27783000</v>
      </c>
      <c r="F82" s="27">
        <f t="shared" si="40"/>
        <v>29172150</v>
      </c>
      <c r="G82" s="27">
        <f t="shared" si="40"/>
        <v>30630758</v>
      </c>
      <c r="H82" s="27">
        <f t="shared" si="40"/>
        <v>32162296</v>
      </c>
      <c r="I82" s="27">
        <f t="shared" si="40"/>
        <v>33770411</v>
      </c>
      <c r="J82" s="27">
        <f t="shared" si="40"/>
        <v>35458932</v>
      </c>
      <c r="K82" s="27">
        <f t="shared" si="40"/>
        <v>37231879</v>
      </c>
    </row>
    <row r="83" spans="1:11" ht="19.5" customHeight="1">
      <c r="A83" s="33"/>
      <c r="B83" s="41"/>
      <c r="C83" s="27"/>
      <c r="D83" s="27"/>
      <c r="E83" s="27"/>
      <c r="F83" s="27"/>
      <c r="G83" s="27"/>
      <c r="H83" s="27"/>
      <c r="I83" s="27"/>
      <c r="J83" s="27"/>
      <c r="K83" s="27"/>
    </row>
    <row r="84" spans="1:11" ht="19.5" customHeight="1">
      <c r="A84" s="5" t="s">
        <v>11</v>
      </c>
      <c r="B84" s="38">
        <f aca="true" t="shared" si="41" ref="B84:K84">+B86+B118</f>
        <v>1542100442</v>
      </c>
      <c r="C84" s="38">
        <f t="shared" si="41"/>
        <v>1233084060</v>
      </c>
      <c r="D84" s="38">
        <f t="shared" si="41"/>
        <v>1294738262</v>
      </c>
      <c r="E84" s="38">
        <f t="shared" si="41"/>
        <v>1359475175</v>
      </c>
      <c r="F84" s="38">
        <f t="shared" si="41"/>
        <v>1427448935</v>
      </c>
      <c r="G84" s="38">
        <f t="shared" si="41"/>
        <v>1498821382</v>
      </c>
      <c r="H84" s="38">
        <f t="shared" si="41"/>
        <v>1573762451</v>
      </c>
      <c r="I84" s="38">
        <f t="shared" si="41"/>
        <v>1652450573</v>
      </c>
      <c r="J84" s="38">
        <f t="shared" si="41"/>
        <v>1735073101</v>
      </c>
      <c r="K84" s="38">
        <f t="shared" si="41"/>
        <v>1821826756</v>
      </c>
    </row>
    <row r="85" spans="1:11" ht="19.5" customHeight="1">
      <c r="A85" s="5"/>
      <c r="B85" s="38"/>
      <c r="C85" s="25"/>
      <c r="D85" s="25"/>
      <c r="E85" s="25"/>
      <c r="F85" s="25"/>
      <c r="G85" s="25"/>
      <c r="H85" s="25"/>
      <c r="I85" s="25"/>
      <c r="J85" s="25"/>
      <c r="K85" s="25"/>
    </row>
    <row r="86" spans="1:11" ht="19.5" customHeight="1">
      <c r="A86" s="5" t="s">
        <v>53</v>
      </c>
      <c r="B86" s="38">
        <f>+B87</f>
        <v>1442100442</v>
      </c>
      <c r="C86" s="25">
        <f aca="true" t="shared" si="42" ref="C86:K87">+C87</f>
        <v>1128084060</v>
      </c>
      <c r="D86" s="25">
        <f t="shared" si="42"/>
        <v>1184488262</v>
      </c>
      <c r="E86" s="25">
        <f t="shared" si="42"/>
        <v>1243712675</v>
      </c>
      <c r="F86" s="25">
        <f t="shared" si="42"/>
        <v>1305898310</v>
      </c>
      <c r="G86" s="25">
        <f t="shared" si="42"/>
        <v>1371193226</v>
      </c>
      <c r="H86" s="25">
        <f t="shared" si="42"/>
        <v>1439752887</v>
      </c>
      <c r="I86" s="25">
        <f t="shared" si="42"/>
        <v>1511740531</v>
      </c>
      <c r="J86" s="25">
        <f t="shared" si="42"/>
        <v>1587327557</v>
      </c>
      <c r="K86" s="25">
        <f t="shared" si="42"/>
        <v>1666693935</v>
      </c>
    </row>
    <row r="87" spans="1:11" ht="19.5" customHeight="1">
      <c r="A87" s="5" t="s">
        <v>56</v>
      </c>
      <c r="B87" s="38">
        <f>+B88</f>
        <v>1442100442</v>
      </c>
      <c r="C87" s="38">
        <f t="shared" si="42"/>
        <v>1128084060</v>
      </c>
      <c r="D87" s="38">
        <f t="shared" si="42"/>
        <v>1184488262</v>
      </c>
      <c r="E87" s="38">
        <f t="shared" si="42"/>
        <v>1243712675</v>
      </c>
      <c r="F87" s="38">
        <f t="shared" si="42"/>
        <v>1305898310</v>
      </c>
      <c r="G87" s="38">
        <f t="shared" si="42"/>
        <v>1371193226</v>
      </c>
      <c r="H87" s="38">
        <f t="shared" si="42"/>
        <v>1439752887</v>
      </c>
      <c r="I87" s="38">
        <f t="shared" si="42"/>
        <v>1511740531</v>
      </c>
      <c r="J87" s="38">
        <f t="shared" si="42"/>
        <v>1587327557</v>
      </c>
      <c r="K87" s="38">
        <f t="shared" si="42"/>
        <v>1666693935</v>
      </c>
    </row>
    <row r="88" spans="1:11" ht="19.5" customHeight="1">
      <c r="A88" s="5" t="s">
        <v>17</v>
      </c>
      <c r="B88" s="38">
        <f>+B89+B95+B108+B98</f>
        <v>1442100442</v>
      </c>
      <c r="C88" s="25">
        <f aca="true" t="shared" si="43" ref="C88:K88">+C89+C95+C108+C98</f>
        <v>1128084060</v>
      </c>
      <c r="D88" s="25">
        <f t="shared" si="43"/>
        <v>1184488262</v>
      </c>
      <c r="E88" s="25">
        <f t="shared" si="43"/>
        <v>1243712675</v>
      </c>
      <c r="F88" s="25">
        <f t="shared" si="43"/>
        <v>1305898310</v>
      </c>
      <c r="G88" s="25">
        <f t="shared" si="43"/>
        <v>1371193226</v>
      </c>
      <c r="H88" s="25">
        <f t="shared" si="43"/>
        <v>1439752887</v>
      </c>
      <c r="I88" s="25">
        <f t="shared" si="43"/>
        <v>1511740531</v>
      </c>
      <c r="J88" s="25">
        <f t="shared" si="43"/>
        <v>1587327557</v>
      </c>
      <c r="K88" s="25">
        <f t="shared" si="43"/>
        <v>1666693935</v>
      </c>
    </row>
    <row r="89" spans="1:11" ht="19.5" customHeight="1">
      <c r="A89" s="5" t="s">
        <v>640</v>
      </c>
      <c r="B89" s="38">
        <f>+B90+B92</f>
        <v>219060121</v>
      </c>
      <c r="C89" s="25">
        <f aca="true" t="shared" si="44" ref="C89:K89">+C90+C92</f>
        <v>230013127</v>
      </c>
      <c r="D89" s="25">
        <f t="shared" si="44"/>
        <v>241513783</v>
      </c>
      <c r="E89" s="25">
        <f t="shared" si="44"/>
        <v>253589472</v>
      </c>
      <c r="F89" s="25">
        <f t="shared" si="44"/>
        <v>266268946</v>
      </c>
      <c r="G89" s="25">
        <f t="shared" si="44"/>
        <v>279582393</v>
      </c>
      <c r="H89" s="25">
        <f t="shared" si="44"/>
        <v>293561513</v>
      </c>
      <c r="I89" s="25">
        <f t="shared" si="44"/>
        <v>308239589</v>
      </c>
      <c r="J89" s="25">
        <f t="shared" si="44"/>
        <v>323651568</v>
      </c>
      <c r="K89" s="25">
        <f t="shared" si="44"/>
        <v>339834146</v>
      </c>
    </row>
    <row r="90" spans="1:11" ht="19.5" customHeight="1">
      <c r="A90" s="6" t="s">
        <v>18</v>
      </c>
      <c r="B90" s="98">
        <f>+B91</f>
        <v>219060121</v>
      </c>
      <c r="C90" s="34">
        <f aca="true" t="shared" si="45" ref="C90:K90">+C91</f>
        <v>230013127</v>
      </c>
      <c r="D90" s="34">
        <f t="shared" si="45"/>
        <v>241513783</v>
      </c>
      <c r="E90" s="34">
        <f t="shared" si="45"/>
        <v>253589472</v>
      </c>
      <c r="F90" s="34">
        <f t="shared" si="45"/>
        <v>266268946</v>
      </c>
      <c r="G90" s="34">
        <f t="shared" si="45"/>
        <v>279582393</v>
      </c>
      <c r="H90" s="34">
        <f t="shared" si="45"/>
        <v>293561513</v>
      </c>
      <c r="I90" s="34">
        <f t="shared" si="45"/>
        <v>308239589</v>
      </c>
      <c r="J90" s="34">
        <f t="shared" si="45"/>
        <v>323651568</v>
      </c>
      <c r="K90" s="34">
        <f t="shared" si="45"/>
        <v>339834146</v>
      </c>
    </row>
    <row r="91" spans="1:11" ht="19.5" customHeight="1">
      <c r="A91" s="44" t="s">
        <v>18</v>
      </c>
      <c r="B91" s="41">
        <v>219060121</v>
      </c>
      <c r="C91" s="27">
        <f aca="true" t="shared" si="46" ref="C91:K93">+ROUND(B91*(100+$B$8)%,0)</f>
        <v>230013127</v>
      </c>
      <c r="D91" s="27">
        <f t="shared" si="46"/>
        <v>241513783</v>
      </c>
      <c r="E91" s="27">
        <f t="shared" si="46"/>
        <v>253589472</v>
      </c>
      <c r="F91" s="27">
        <f t="shared" si="46"/>
        <v>266268946</v>
      </c>
      <c r="G91" s="27">
        <f t="shared" si="46"/>
        <v>279582393</v>
      </c>
      <c r="H91" s="27">
        <f t="shared" si="46"/>
        <v>293561513</v>
      </c>
      <c r="I91" s="27">
        <f t="shared" si="46"/>
        <v>308239589</v>
      </c>
      <c r="J91" s="27">
        <f t="shared" si="46"/>
        <v>323651568</v>
      </c>
      <c r="K91" s="27">
        <f t="shared" si="46"/>
        <v>339834146</v>
      </c>
    </row>
    <row r="92" spans="1:11" ht="19.5" customHeight="1">
      <c r="A92" s="5" t="s">
        <v>639</v>
      </c>
      <c r="B92" s="98">
        <f>+B93</f>
        <v>0</v>
      </c>
      <c r="C92" s="34">
        <f aca="true" t="shared" si="47" ref="C92:K92">+C93</f>
        <v>0</v>
      </c>
      <c r="D92" s="34">
        <f t="shared" si="47"/>
        <v>0</v>
      </c>
      <c r="E92" s="34">
        <f t="shared" si="47"/>
        <v>0</v>
      </c>
      <c r="F92" s="34">
        <f t="shared" si="47"/>
        <v>0</v>
      </c>
      <c r="G92" s="34">
        <f t="shared" si="47"/>
        <v>0</v>
      </c>
      <c r="H92" s="34">
        <f t="shared" si="47"/>
        <v>0</v>
      </c>
      <c r="I92" s="34">
        <f t="shared" si="47"/>
        <v>0</v>
      </c>
      <c r="J92" s="34">
        <f t="shared" si="47"/>
        <v>0</v>
      </c>
      <c r="K92" s="34">
        <f t="shared" si="47"/>
        <v>0</v>
      </c>
    </row>
    <row r="93" spans="1:11" ht="19.5" customHeight="1">
      <c r="A93" s="33" t="s">
        <v>639</v>
      </c>
      <c r="B93" s="41">
        <v>0</v>
      </c>
      <c r="C93" s="27">
        <f t="shared" si="46"/>
        <v>0</v>
      </c>
      <c r="D93" s="27">
        <f t="shared" si="46"/>
        <v>0</v>
      </c>
      <c r="E93" s="27">
        <f t="shared" si="46"/>
        <v>0</v>
      </c>
      <c r="F93" s="27">
        <f t="shared" si="46"/>
        <v>0</v>
      </c>
      <c r="G93" s="27">
        <f t="shared" si="46"/>
        <v>0</v>
      </c>
      <c r="H93" s="27">
        <f t="shared" si="46"/>
        <v>0</v>
      </c>
      <c r="I93" s="27">
        <f t="shared" si="46"/>
        <v>0</v>
      </c>
      <c r="J93" s="27">
        <f t="shared" si="46"/>
        <v>0</v>
      </c>
      <c r="K93" s="27">
        <f t="shared" si="46"/>
        <v>0</v>
      </c>
    </row>
    <row r="94" spans="1:11" ht="19.5" customHeight="1">
      <c r="A94" s="33"/>
      <c r="B94" s="41"/>
      <c r="C94" s="27"/>
      <c r="D94" s="27"/>
      <c r="E94" s="27"/>
      <c r="F94" s="27"/>
      <c r="G94" s="27"/>
      <c r="H94" s="27"/>
      <c r="I94" s="27"/>
      <c r="J94" s="27"/>
      <c r="K94" s="27"/>
    </row>
    <row r="95" spans="1:12" ht="19.5" customHeight="1">
      <c r="A95" s="5" t="s">
        <v>641</v>
      </c>
      <c r="B95" s="38">
        <f>+B96</f>
        <v>23273777</v>
      </c>
      <c r="C95" s="25">
        <f aca="true" t="shared" si="48" ref="C95:K95">+C96</f>
        <v>24437466</v>
      </c>
      <c r="D95" s="25">
        <f t="shared" si="48"/>
        <v>25659339</v>
      </c>
      <c r="E95" s="25">
        <f t="shared" si="48"/>
        <v>26942306</v>
      </c>
      <c r="F95" s="25">
        <f t="shared" si="48"/>
        <v>28289421</v>
      </c>
      <c r="G95" s="25">
        <f t="shared" si="48"/>
        <v>29703892</v>
      </c>
      <c r="H95" s="25">
        <f t="shared" si="48"/>
        <v>31189087</v>
      </c>
      <c r="I95" s="25">
        <f t="shared" si="48"/>
        <v>32748541</v>
      </c>
      <c r="J95" s="25">
        <f t="shared" si="48"/>
        <v>34385968</v>
      </c>
      <c r="K95" s="25">
        <f t="shared" si="48"/>
        <v>36105266</v>
      </c>
      <c r="L95" s="35"/>
    </row>
    <row r="96" spans="1:11" ht="19.5" customHeight="1">
      <c r="A96" s="33" t="s">
        <v>23</v>
      </c>
      <c r="B96" s="41">
        <v>23273777</v>
      </c>
      <c r="C96" s="27">
        <f aca="true" t="shared" si="49" ref="C96:K96">+ROUND(B96*(100+$B$8)%,0)</f>
        <v>24437466</v>
      </c>
      <c r="D96" s="27">
        <f t="shared" si="49"/>
        <v>25659339</v>
      </c>
      <c r="E96" s="27">
        <f t="shared" si="49"/>
        <v>26942306</v>
      </c>
      <c r="F96" s="27">
        <f t="shared" si="49"/>
        <v>28289421</v>
      </c>
      <c r="G96" s="27">
        <f t="shared" si="49"/>
        <v>29703892</v>
      </c>
      <c r="H96" s="27">
        <f t="shared" si="49"/>
        <v>31189087</v>
      </c>
      <c r="I96" s="27">
        <f t="shared" si="49"/>
        <v>32748541</v>
      </c>
      <c r="J96" s="27">
        <f t="shared" si="49"/>
        <v>34385968</v>
      </c>
      <c r="K96" s="27">
        <f t="shared" si="49"/>
        <v>36105266</v>
      </c>
    </row>
    <row r="97" spans="1:11" ht="19.5" customHeight="1">
      <c r="A97" s="33"/>
      <c r="B97" s="41"/>
      <c r="C97" s="27"/>
      <c r="D97" s="27"/>
      <c r="E97" s="27"/>
      <c r="F97" s="27"/>
      <c r="G97" s="27"/>
      <c r="H97" s="27"/>
      <c r="I97" s="27"/>
      <c r="J97" s="27"/>
      <c r="K97" s="27"/>
    </row>
    <row r="98" spans="1:11" ht="19.5" customHeight="1">
      <c r="A98" s="5" t="s">
        <v>649</v>
      </c>
      <c r="B98" s="38">
        <f>+B99</f>
        <v>285209436</v>
      </c>
      <c r="C98" s="25">
        <f aca="true" t="shared" si="50" ref="C98:K98">+C99</f>
        <v>299469908</v>
      </c>
      <c r="D98" s="25">
        <f t="shared" si="50"/>
        <v>314443403</v>
      </c>
      <c r="E98" s="25">
        <f t="shared" si="50"/>
        <v>330165573</v>
      </c>
      <c r="F98" s="25">
        <f t="shared" si="50"/>
        <v>346673852</v>
      </c>
      <c r="G98" s="25">
        <f t="shared" si="50"/>
        <v>364007545</v>
      </c>
      <c r="H98" s="25">
        <f t="shared" si="50"/>
        <v>382207922</v>
      </c>
      <c r="I98" s="25">
        <f t="shared" si="50"/>
        <v>401318318</v>
      </c>
      <c r="J98" s="25">
        <f t="shared" si="50"/>
        <v>421384234</v>
      </c>
      <c r="K98" s="25">
        <f t="shared" si="50"/>
        <v>442453446</v>
      </c>
    </row>
    <row r="99" spans="1:11" ht="19.5" customHeight="1">
      <c r="A99" s="33" t="s">
        <v>19</v>
      </c>
      <c r="B99" s="41">
        <v>285209436</v>
      </c>
      <c r="C99" s="27">
        <f aca="true" t="shared" si="51" ref="C99:K99">+ROUND(B99*(100+$B$8)%,0)</f>
        <v>299469908</v>
      </c>
      <c r="D99" s="27">
        <f t="shared" si="51"/>
        <v>314443403</v>
      </c>
      <c r="E99" s="27">
        <f t="shared" si="51"/>
        <v>330165573</v>
      </c>
      <c r="F99" s="27">
        <f t="shared" si="51"/>
        <v>346673852</v>
      </c>
      <c r="G99" s="27">
        <f t="shared" si="51"/>
        <v>364007545</v>
      </c>
      <c r="H99" s="27">
        <f t="shared" si="51"/>
        <v>382207922</v>
      </c>
      <c r="I99" s="27">
        <f t="shared" si="51"/>
        <v>401318318</v>
      </c>
      <c r="J99" s="27">
        <f t="shared" si="51"/>
        <v>421384234</v>
      </c>
      <c r="K99" s="27">
        <f t="shared" si="51"/>
        <v>442453446</v>
      </c>
    </row>
    <row r="100" spans="1:11" ht="19.5" customHeight="1">
      <c r="A100" s="32"/>
      <c r="B100" s="101"/>
      <c r="C100" s="17"/>
      <c r="D100" s="17"/>
      <c r="E100" s="17"/>
      <c r="F100" s="17"/>
      <c r="G100" s="17"/>
      <c r="H100" s="17"/>
      <c r="I100" s="17"/>
      <c r="J100" s="17"/>
      <c r="K100" s="17"/>
    </row>
    <row r="101" spans="1:11" ht="19.5" customHeight="1">
      <c r="A101" s="32"/>
      <c r="B101" s="101"/>
      <c r="C101" s="17"/>
      <c r="D101" s="17"/>
      <c r="E101" s="17"/>
      <c r="F101" s="17"/>
      <c r="G101" s="17"/>
      <c r="H101" s="17"/>
      <c r="I101" s="17"/>
      <c r="J101" s="17"/>
      <c r="K101" s="17"/>
    </row>
    <row r="102" spans="1:11" ht="19.5" customHeight="1">
      <c r="A102" s="32"/>
      <c r="B102" s="101"/>
      <c r="C102" s="17"/>
      <c r="D102" s="17"/>
      <c r="E102" s="17"/>
      <c r="F102" s="17"/>
      <c r="G102" s="17"/>
      <c r="H102" s="17"/>
      <c r="I102" s="17"/>
      <c r="J102" s="17"/>
      <c r="K102" s="17"/>
    </row>
    <row r="103" spans="1:11" ht="19.5" customHeight="1">
      <c r="A103" s="32"/>
      <c r="B103" s="101"/>
      <c r="C103" s="17"/>
      <c r="D103" s="17"/>
      <c r="E103" s="17"/>
      <c r="F103" s="17"/>
      <c r="G103" s="17"/>
      <c r="H103" s="17"/>
      <c r="I103" s="17"/>
      <c r="J103" s="17"/>
      <c r="K103" s="17"/>
    </row>
    <row r="104" spans="1:11" ht="19.5" customHeight="1">
      <c r="A104" s="32"/>
      <c r="B104" s="101"/>
      <c r="C104" s="17"/>
      <c r="D104" s="17"/>
      <c r="E104" s="17"/>
      <c r="F104" s="17"/>
      <c r="G104" s="17"/>
      <c r="H104" s="17"/>
      <c r="I104" s="17"/>
      <c r="J104" s="17"/>
      <c r="K104" s="17"/>
    </row>
    <row r="105" spans="1:11" ht="19.5" customHeight="1">
      <c r="A105" s="32"/>
      <c r="B105" s="101"/>
      <c r="C105" s="17"/>
      <c r="D105" s="17"/>
      <c r="E105" s="17"/>
      <c r="F105" s="17"/>
      <c r="G105" s="17"/>
      <c r="H105" s="17"/>
      <c r="I105" s="17"/>
      <c r="J105" s="17"/>
      <c r="K105" s="17"/>
    </row>
    <row r="106" spans="1:11" ht="19.5" customHeight="1">
      <c r="A106" s="32"/>
      <c r="B106" s="101"/>
      <c r="C106" s="17"/>
      <c r="D106" s="17"/>
      <c r="E106" s="17"/>
      <c r="F106" s="17"/>
      <c r="G106" s="17"/>
      <c r="H106" s="17"/>
      <c r="I106" s="17"/>
      <c r="J106" s="17"/>
      <c r="K106" s="17"/>
    </row>
    <row r="107" spans="1:11" ht="19.5" customHeight="1">
      <c r="A107" s="1" t="s">
        <v>38</v>
      </c>
      <c r="B107" s="24" t="s">
        <v>191</v>
      </c>
      <c r="C107" s="24" t="s">
        <v>192</v>
      </c>
      <c r="D107" s="24" t="s">
        <v>193</v>
      </c>
      <c r="E107" s="24" t="s">
        <v>194</v>
      </c>
      <c r="F107" s="24" t="s">
        <v>195</v>
      </c>
      <c r="G107" s="24" t="s">
        <v>196</v>
      </c>
      <c r="H107" s="24" t="s">
        <v>197</v>
      </c>
      <c r="I107" s="24" t="s">
        <v>198</v>
      </c>
      <c r="J107" s="24" t="s">
        <v>199</v>
      </c>
      <c r="K107" s="24" t="s">
        <v>199</v>
      </c>
    </row>
    <row r="108" spans="1:11" ht="28.5" customHeight="1">
      <c r="A108" s="5" t="s">
        <v>59</v>
      </c>
      <c r="B108" s="38">
        <f>+B111+B113+B115+B109</f>
        <v>914557108</v>
      </c>
      <c r="C108" s="25">
        <f aca="true" t="shared" si="52" ref="C108:K108">+C111+C113+C115</f>
        <v>574163559</v>
      </c>
      <c r="D108" s="25">
        <f t="shared" si="52"/>
        <v>602871737</v>
      </c>
      <c r="E108" s="25">
        <f t="shared" si="52"/>
        <v>633015324</v>
      </c>
      <c r="F108" s="25">
        <f t="shared" si="52"/>
        <v>664666091</v>
      </c>
      <c r="G108" s="25">
        <f t="shared" si="52"/>
        <v>697899396</v>
      </c>
      <c r="H108" s="25">
        <f t="shared" si="52"/>
        <v>732794365</v>
      </c>
      <c r="I108" s="25">
        <f t="shared" si="52"/>
        <v>769434083</v>
      </c>
      <c r="J108" s="25">
        <f t="shared" si="52"/>
        <v>807905787</v>
      </c>
      <c r="K108" s="25">
        <f t="shared" si="52"/>
        <v>848301077</v>
      </c>
    </row>
    <row r="109" spans="1:11" ht="19.5" customHeight="1">
      <c r="A109" s="5" t="s">
        <v>648</v>
      </c>
      <c r="B109" s="38">
        <f>+B110</f>
        <v>367734671</v>
      </c>
      <c r="C109" s="25">
        <f aca="true" t="shared" si="53" ref="C109:K109">+C110</f>
        <v>386121405</v>
      </c>
      <c r="D109" s="25">
        <f t="shared" si="53"/>
        <v>405427475</v>
      </c>
      <c r="E109" s="25">
        <f t="shared" si="53"/>
        <v>425698849</v>
      </c>
      <c r="F109" s="25">
        <f t="shared" si="53"/>
        <v>446983791</v>
      </c>
      <c r="G109" s="25">
        <f t="shared" si="53"/>
        <v>469332981</v>
      </c>
      <c r="H109" s="25">
        <f t="shared" si="53"/>
        <v>492799630</v>
      </c>
      <c r="I109" s="25">
        <f t="shared" si="53"/>
        <v>517439612</v>
      </c>
      <c r="J109" s="25">
        <f t="shared" si="53"/>
        <v>543311593</v>
      </c>
      <c r="K109" s="25">
        <f t="shared" si="53"/>
        <v>570477173</v>
      </c>
    </row>
    <row r="110" spans="1:11" ht="19.5" customHeight="1">
      <c r="A110" s="33" t="s">
        <v>22</v>
      </c>
      <c r="B110" s="41">
        <v>367734671</v>
      </c>
      <c r="C110" s="27">
        <f aca="true" t="shared" si="54" ref="C110:K110">+ROUND(B110*(100+$B$8)%,0)</f>
        <v>386121405</v>
      </c>
      <c r="D110" s="27">
        <f t="shared" si="54"/>
        <v>405427475</v>
      </c>
      <c r="E110" s="27">
        <f t="shared" si="54"/>
        <v>425698849</v>
      </c>
      <c r="F110" s="27">
        <f t="shared" si="54"/>
        <v>446983791</v>
      </c>
      <c r="G110" s="27">
        <f t="shared" si="54"/>
        <v>469332981</v>
      </c>
      <c r="H110" s="27">
        <f t="shared" si="54"/>
        <v>492799630</v>
      </c>
      <c r="I110" s="27">
        <f t="shared" si="54"/>
        <v>517439612</v>
      </c>
      <c r="J110" s="27">
        <f t="shared" si="54"/>
        <v>543311593</v>
      </c>
      <c r="K110" s="27">
        <f t="shared" si="54"/>
        <v>570477173</v>
      </c>
    </row>
    <row r="111" spans="1:11" ht="19.5" customHeight="1">
      <c r="A111" s="5" t="s">
        <v>650</v>
      </c>
      <c r="B111" s="38">
        <f>+B112</f>
        <v>40663385</v>
      </c>
      <c r="C111" s="25">
        <f aca="true" t="shared" si="55" ref="C111:K111">+C112</f>
        <v>42696554</v>
      </c>
      <c r="D111" s="25">
        <f t="shared" si="55"/>
        <v>44831382</v>
      </c>
      <c r="E111" s="25">
        <f t="shared" si="55"/>
        <v>47072951</v>
      </c>
      <c r="F111" s="25">
        <f t="shared" si="55"/>
        <v>49426599</v>
      </c>
      <c r="G111" s="25">
        <f t="shared" si="55"/>
        <v>51897929</v>
      </c>
      <c r="H111" s="25">
        <f t="shared" si="55"/>
        <v>54492825</v>
      </c>
      <c r="I111" s="25">
        <f t="shared" si="55"/>
        <v>57217466</v>
      </c>
      <c r="J111" s="25">
        <f t="shared" si="55"/>
        <v>60078339</v>
      </c>
      <c r="K111" s="25">
        <f t="shared" si="55"/>
        <v>63082256</v>
      </c>
    </row>
    <row r="112" spans="1:11" ht="19.5" customHeight="1">
      <c r="A112" s="33" t="s">
        <v>20</v>
      </c>
      <c r="B112" s="41">
        <v>40663385</v>
      </c>
      <c r="C112" s="27">
        <f aca="true" t="shared" si="56" ref="C112:K116">+ROUND(B112*(100+$B$8)%,0)</f>
        <v>42696554</v>
      </c>
      <c r="D112" s="27">
        <f t="shared" si="56"/>
        <v>44831382</v>
      </c>
      <c r="E112" s="27">
        <f t="shared" si="56"/>
        <v>47072951</v>
      </c>
      <c r="F112" s="27">
        <f t="shared" si="56"/>
        <v>49426599</v>
      </c>
      <c r="G112" s="27">
        <f t="shared" si="56"/>
        <v>51897929</v>
      </c>
      <c r="H112" s="27">
        <f t="shared" si="56"/>
        <v>54492825</v>
      </c>
      <c r="I112" s="27">
        <f t="shared" si="56"/>
        <v>57217466</v>
      </c>
      <c r="J112" s="27">
        <f t="shared" si="56"/>
        <v>60078339</v>
      </c>
      <c r="K112" s="27">
        <f t="shared" si="56"/>
        <v>63082256</v>
      </c>
    </row>
    <row r="113" spans="1:11" ht="19.5" customHeight="1">
      <c r="A113" s="5" t="s">
        <v>651</v>
      </c>
      <c r="B113" s="38">
        <f>+B114</f>
        <v>30497539</v>
      </c>
      <c r="C113" s="25">
        <f aca="true" t="shared" si="57" ref="C113:K113">+C114</f>
        <v>32022416</v>
      </c>
      <c r="D113" s="25">
        <f t="shared" si="57"/>
        <v>33623537</v>
      </c>
      <c r="E113" s="25">
        <f t="shared" si="57"/>
        <v>35304714</v>
      </c>
      <c r="F113" s="25">
        <f t="shared" si="57"/>
        <v>37069950</v>
      </c>
      <c r="G113" s="25">
        <f t="shared" si="57"/>
        <v>38923448</v>
      </c>
      <c r="H113" s="25">
        <f t="shared" si="57"/>
        <v>40869620</v>
      </c>
      <c r="I113" s="25">
        <f t="shared" si="57"/>
        <v>42913101</v>
      </c>
      <c r="J113" s="25">
        <f t="shared" si="57"/>
        <v>45058756</v>
      </c>
      <c r="K113" s="25">
        <f t="shared" si="57"/>
        <v>47311694</v>
      </c>
    </row>
    <row r="114" spans="1:11" ht="19.5" customHeight="1">
      <c r="A114" s="33" t="s">
        <v>21</v>
      </c>
      <c r="B114" s="41">
        <v>30497539</v>
      </c>
      <c r="C114" s="27">
        <f t="shared" si="56"/>
        <v>32022416</v>
      </c>
      <c r="D114" s="27">
        <f t="shared" si="56"/>
        <v>33623537</v>
      </c>
      <c r="E114" s="27">
        <f t="shared" si="56"/>
        <v>35304714</v>
      </c>
      <c r="F114" s="27">
        <f t="shared" si="56"/>
        <v>37069950</v>
      </c>
      <c r="G114" s="27">
        <f t="shared" si="56"/>
        <v>38923448</v>
      </c>
      <c r="H114" s="27">
        <f t="shared" si="56"/>
        <v>40869620</v>
      </c>
      <c r="I114" s="27">
        <f t="shared" si="56"/>
        <v>42913101</v>
      </c>
      <c r="J114" s="27">
        <f t="shared" si="56"/>
        <v>45058756</v>
      </c>
      <c r="K114" s="27">
        <f t="shared" si="56"/>
        <v>47311694</v>
      </c>
    </row>
    <row r="115" spans="1:11" ht="19.5" customHeight="1">
      <c r="A115" s="5" t="s">
        <v>633</v>
      </c>
      <c r="B115" s="38">
        <f>+B116</f>
        <v>475661513</v>
      </c>
      <c r="C115" s="25">
        <f aca="true" t="shared" si="58" ref="C115:K115">+C116</f>
        <v>499444589</v>
      </c>
      <c r="D115" s="25">
        <f t="shared" si="58"/>
        <v>524416818</v>
      </c>
      <c r="E115" s="25">
        <f t="shared" si="58"/>
        <v>550637659</v>
      </c>
      <c r="F115" s="25">
        <f t="shared" si="58"/>
        <v>578169542</v>
      </c>
      <c r="G115" s="25">
        <f t="shared" si="58"/>
        <v>607078019</v>
      </c>
      <c r="H115" s="25">
        <f t="shared" si="58"/>
        <v>637431920</v>
      </c>
      <c r="I115" s="25">
        <f t="shared" si="58"/>
        <v>669303516</v>
      </c>
      <c r="J115" s="25">
        <f t="shared" si="58"/>
        <v>702768692</v>
      </c>
      <c r="K115" s="25">
        <f t="shared" si="58"/>
        <v>737907127</v>
      </c>
    </row>
    <row r="116" spans="1:11" ht="19.5" customHeight="1">
      <c r="A116" s="33" t="s">
        <v>22</v>
      </c>
      <c r="B116" s="41">
        <v>475661513</v>
      </c>
      <c r="C116" s="27">
        <f t="shared" si="56"/>
        <v>499444589</v>
      </c>
      <c r="D116" s="27">
        <f t="shared" si="56"/>
        <v>524416818</v>
      </c>
      <c r="E116" s="27">
        <f t="shared" si="56"/>
        <v>550637659</v>
      </c>
      <c r="F116" s="27">
        <f t="shared" si="56"/>
        <v>578169542</v>
      </c>
      <c r="G116" s="27">
        <f t="shared" si="56"/>
        <v>607078019</v>
      </c>
      <c r="H116" s="27">
        <f t="shared" si="56"/>
        <v>637431920</v>
      </c>
      <c r="I116" s="27">
        <f t="shared" si="56"/>
        <v>669303516</v>
      </c>
      <c r="J116" s="27">
        <f t="shared" si="56"/>
        <v>702768692</v>
      </c>
      <c r="K116" s="27">
        <f t="shared" si="56"/>
        <v>737907127</v>
      </c>
    </row>
    <row r="117" spans="1:11" ht="15.75" customHeight="1">
      <c r="A117" s="28"/>
      <c r="B117" s="103"/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1:11" ht="19.5" customHeight="1">
      <c r="A118" s="5" t="s">
        <v>25</v>
      </c>
      <c r="B118" s="38">
        <f>SUM(B119:B120)</f>
        <v>100000000</v>
      </c>
      <c r="C118" s="25">
        <f aca="true" t="shared" si="59" ref="C118:K118">+C119</f>
        <v>105000000</v>
      </c>
      <c r="D118" s="25">
        <f t="shared" si="59"/>
        <v>110250000</v>
      </c>
      <c r="E118" s="25">
        <f t="shared" si="59"/>
        <v>115762500</v>
      </c>
      <c r="F118" s="25">
        <f t="shared" si="59"/>
        <v>121550625</v>
      </c>
      <c r="G118" s="25">
        <f t="shared" si="59"/>
        <v>127628156</v>
      </c>
      <c r="H118" s="25">
        <f t="shared" si="59"/>
        <v>134009564</v>
      </c>
      <c r="I118" s="25">
        <f t="shared" si="59"/>
        <v>140710042</v>
      </c>
      <c r="J118" s="25">
        <f t="shared" si="59"/>
        <v>147745544</v>
      </c>
      <c r="K118" s="25">
        <f t="shared" si="59"/>
        <v>155132821</v>
      </c>
    </row>
    <row r="119" spans="1:11" s="327" customFormat="1" ht="19.5" customHeight="1">
      <c r="A119" s="33" t="s">
        <v>26</v>
      </c>
      <c r="B119" s="41">
        <v>100000000</v>
      </c>
      <c r="C119" s="99">
        <f aca="true" t="shared" si="60" ref="C119:K119">+ROUND(B119*(100+$B$8)%,0)</f>
        <v>105000000</v>
      </c>
      <c r="D119" s="99">
        <f t="shared" si="60"/>
        <v>110250000</v>
      </c>
      <c r="E119" s="99">
        <f t="shared" si="60"/>
        <v>115762500</v>
      </c>
      <c r="F119" s="99">
        <f t="shared" si="60"/>
        <v>121550625</v>
      </c>
      <c r="G119" s="99">
        <f t="shared" si="60"/>
        <v>127628156</v>
      </c>
      <c r="H119" s="99">
        <f t="shared" si="60"/>
        <v>134009564</v>
      </c>
      <c r="I119" s="99">
        <f t="shared" si="60"/>
        <v>140710042</v>
      </c>
      <c r="J119" s="99">
        <f t="shared" si="60"/>
        <v>147745544</v>
      </c>
      <c r="K119" s="99">
        <f t="shared" si="60"/>
        <v>155132821</v>
      </c>
    </row>
    <row r="120" spans="1:11" ht="19.5" customHeight="1" hidden="1">
      <c r="A120" s="33" t="s">
        <v>238</v>
      </c>
      <c r="B120" s="41">
        <v>0</v>
      </c>
      <c r="C120" s="27">
        <v>0</v>
      </c>
      <c r="D120" s="27">
        <v>0</v>
      </c>
      <c r="E120" s="27">
        <v>0</v>
      </c>
      <c r="F120" s="27">
        <f aca="true" t="shared" si="61" ref="F120:K120">+ROUND(E120*(100+$B$8)%,0)</f>
        <v>0</v>
      </c>
      <c r="G120" s="27">
        <f t="shared" si="61"/>
        <v>0</v>
      </c>
      <c r="H120" s="27">
        <f t="shared" si="61"/>
        <v>0</v>
      </c>
      <c r="I120" s="27">
        <f t="shared" si="61"/>
        <v>0</v>
      </c>
      <c r="J120" s="27">
        <f t="shared" si="61"/>
        <v>0</v>
      </c>
      <c r="K120" s="27">
        <f t="shared" si="61"/>
        <v>0</v>
      </c>
    </row>
    <row r="121" spans="1:11" ht="19.5" customHeight="1">
      <c r="A121" s="33"/>
      <c r="B121" s="41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1:11" ht="16.5" customHeight="1">
      <c r="A122" s="33"/>
      <c r="B122" s="41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1:11" s="197" customFormat="1" ht="25.5" customHeight="1">
      <c r="A123" s="356" t="s">
        <v>27</v>
      </c>
      <c r="B123" s="357">
        <f>+B124+B169+B172+B175</f>
        <v>1332077663.67</v>
      </c>
      <c r="C123" s="357">
        <f aca="true" t="shared" si="62" ref="C123:K123">+C124+C169</f>
        <v>1252896653</v>
      </c>
      <c r="D123" s="357">
        <f t="shared" si="62"/>
        <v>1315541486</v>
      </c>
      <c r="E123" s="357">
        <f t="shared" si="62"/>
        <v>1381318560</v>
      </c>
      <c r="F123" s="357">
        <f t="shared" si="62"/>
        <v>1450384488</v>
      </c>
      <c r="G123" s="357">
        <f t="shared" si="62"/>
        <v>1522903713</v>
      </c>
      <c r="H123" s="357">
        <f t="shared" si="62"/>
        <v>1599048900</v>
      </c>
      <c r="I123" s="357">
        <f t="shared" si="62"/>
        <v>1679001346</v>
      </c>
      <c r="J123" s="357">
        <f t="shared" si="62"/>
        <v>1762951413</v>
      </c>
      <c r="K123" s="357">
        <f t="shared" si="62"/>
        <v>1851098983</v>
      </c>
    </row>
    <row r="124" spans="1:11" s="197" customFormat="1" ht="19.5" customHeight="1">
      <c r="A124" s="356" t="s">
        <v>28</v>
      </c>
      <c r="B124" s="357">
        <f aca="true" t="shared" si="63" ref="B124:K124">+B125+B159+B163</f>
        <v>1292077663.67</v>
      </c>
      <c r="C124" s="357">
        <f t="shared" si="63"/>
        <v>1252896653</v>
      </c>
      <c r="D124" s="357">
        <f t="shared" si="63"/>
        <v>1315541486</v>
      </c>
      <c r="E124" s="357">
        <f t="shared" si="63"/>
        <v>1381318560</v>
      </c>
      <c r="F124" s="357">
        <f t="shared" si="63"/>
        <v>1450384488</v>
      </c>
      <c r="G124" s="357">
        <f t="shared" si="63"/>
        <v>1522903713</v>
      </c>
      <c r="H124" s="357">
        <f t="shared" si="63"/>
        <v>1599048900</v>
      </c>
      <c r="I124" s="357">
        <f t="shared" si="63"/>
        <v>1679001346</v>
      </c>
      <c r="J124" s="357">
        <f t="shared" si="63"/>
        <v>1762951413</v>
      </c>
      <c r="K124" s="357">
        <f t="shared" si="63"/>
        <v>1851098983</v>
      </c>
    </row>
    <row r="125" spans="1:11" ht="19.5" customHeight="1">
      <c r="A125" s="5" t="s">
        <v>269</v>
      </c>
      <c r="B125" s="38">
        <f aca="true" t="shared" si="64" ref="B125:K125">B127+B136+B145+B152</f>
        <v>1227560732.67</v>
      </c>
      <c r="C125" s="38">
        <f t="shared" si="64"/>
        <v>1185153875</v>
      </c>
      <c r="D125" s="38">
        <f t="shared" si="64"/>
        <v>1244411569</v>
      </c>
      <c r="E125" s="38">
        <f t="shared" si="64"/>
        <v>1306632147</v>
      </c>
      <c r="F125" s="38">
        <f t="shared" si="64"/>
        <v>1371963754</v>
      </c>
      <c r="G125" s="38">
        <f t="shared" si="64"/>
        <v>1440561942</v>
      </c>
      <c r="H125" s="38">
        <f t="shared" si="64"/>
        <v>1512590040</v>
      </c>
      <c r="I125" s="38">
        <f t="shared" si="64"/>
        <v>1588219543</v>
      </c>
      <c r="J125" s="38">
        <f t="shared" si="64"/>
        <v>1667630520</v>
      </c>
      <c r="K125" s="38">
        <f t="shared" si="64"/>
        <v>1751012045</v>
      </c>
    </row>
    <row r="126" spans="1:11" ht="19.5" customHeight="1">
      <c r="A126" s="33"/>
      <c r="B126" s="41"/>
      <c r="C126" s="325"/>
      <c r="D126" s="325"/>
      <c r="E126" s="325"/>
      <c r="F126" s="325"/>
      <c r="G126" s="325"/>
      <c r="H126" s="325"/>
      <c r="I126" s="325"/>
      <c r="J126" s="325"/>
      <c r="K126" s="325"/>
    </row>
    <row r="127" spans="1:11" ht="24" customHeight="1">
      <c r="A127" s="5" t="s">
        <v>29</v>
      </c>
      <c r="B127" s="38">
        <f>SUM(B128:B134)</f>
        <v>1038410714</v>
      </c>
      <c r="C127" s="38">
        <f aca="true" t="shared" si="65" ref="C127:K127">SUM(C128:C134)</f>
        <v>1090331249</v>
      </c>
      <c r="D127" s="38">
        <f t="shared" si="65"/>
        <v>1144847811</v>
      </c>
      <c r="E127" s="38">
        <f t="shared" si="65"/>
        <v>1202090201</v>
      </c>
      <c r="F127" s="38">
        <f t="shared" si="65"/>
        <v>1262194711</v>
      </c>
      <c r="G127" s="38">
        <f t="shared" si="65"/>
        <v>1325304447</v>
      </c>
      <c r="H127" s="38">
        <f t="shared" si="65"/>
        <v>1391569669</v>
      </c>
      <c r="I127" s="38">
        <f t="shared" si="65"/>
        <v>1461148153</v>
      </c>
      <c r="J127" s="38">
        <f t="shared" si="65"/>
        <v>1534205561</v>
      </c>
      <c r="K127" s="38">
        <f t="shared" si="65"/>
        <v>1610915839</v>
      </c>
    </row>
    <row r="128" spans="1:11" ht="19.5" customHeight="1">
      <c r="A128" s="33" t="s">
        <v>30</v>
      </c>
      <c r="B128" s="41">
        <v>1025835449</v>
      </c>
      <c r="C128" s="27">
        <f>+ROUND(B128*(100+$B$8)%,0)</f>
        <v>1077127221</v>
      </c>
      <c r="D128" s="27">
        <f aca="true" t="shared" si="66" ref="D128:K128">+ROUND(C128*(100+$B$8)%,0)</f>
        <v>1130983582</v>
      </c>
      <c r="E128" s="27">
        <f t="shared" si="66"/>
        <v>1187532761</v>
      </c>
      <c r="F128" s="27">
        <f t="shared" si="66"/>
        <v>1246909399</v>
      </c>
      <c r="G128" s="27">
        <f t="shared" si="66"/>
        <v>1309254869</v>
      </c>
      <c r="H128" s="27">
        <f t="shared" si="66"/>
        <v>1374717612</v>
      </c>
      <c r="I128" s="27">
        <f t="shared" si="66"/>
        <v>1443453493</v>
      </c>
      <c r="J128" s="27">
        <f t="shared" si="66"/>
        <v>1515626168</v>
      </c>
      <c r="K128" s="27">
        <f t="shared" si="66"/>
        <v>1591407476</v>
      </c>
    </row>
    <row r="129" spans="1:11" ht="19.5" customHeight="1" hidden="1">
      <c r="A129" s="33" t="s">
        <v>203</v>
      </c>
      <c r="B129" s="41">
        <v>0</v>
      </c>
      <c r="C129" s="27">
        <f aca="true" t="shared" si="67" ref="C129:K133">+ROUND(B129*(100+$B$8)%,0)</f>
        <v>0</v>
      </c>
      <c r="D129" s="27">
        <f t="shared" si="67"/>
        <v>0</v>
      </c>
      <c r="E129" s="27">
        <f t="shared" si="67"/>
        <v>0</v>
      </c>
      <c r="F129" s="27">
        <f t="shared" si="67"/>
        <v>0</v>
      </c>
      <c r="G129" s="27">
        <f t="shared" si="67"/>
        <v>0</v>
      </c>
      <c r="H129" s="27">
        <f t="shared" si="67"/>
        <v>0</v>
      </c>
      <c r="I129" s="27">
        <f t="shared" si="67"/>
        <v>0</v>
      </c>
      <c r="J129" s="27">
        <f t="shared" si="67"/>
        <v>0</v>
      </c>
      <c r="K129" s="27">
        <f t="shared" si="67"/>
        <v>0</v>
      </c>
    </row>
    <row r="130" spans="1:11" ht="19.5" customHeight="1">
      <c r="A130" s="44" t="s">
        <v>643</v>
      </c>
      <c r="B130" s="98">
        <v>12575265</v>
      </c>
      <c r="C130" s="27">
        <f t="shared" si="67"/>
        <v>13204028</v>
      </c>
      <c r="D130" s="27">
        <f t="shared" si="67"/>
        <v>13864229</v>
      </c>
      <c r="E130" s="27">
        <f t="shared" si="67"/>
        <v>14557440</v>
      </c>
      <c r="F130" s="27">
        <f t="shared" si="67"/>
        <v>15285312</v>
      </c>
      <c r="G130" s="27">
        <f t="shared" si="67"/>
        <v>16049578</v>
      </c>
      <c r="H130" s="27">
        <f t="shared" si="67"/>
        <v>16852057</v>
      </c>
      <c r="I130" s="27">
        <f t="shared" si="67"/>
        <v>17694660</v>
      </c>
      <c r="J130" s="27">
        <f t="shared" si="67"/>
        <v>18579393</v>
      </c>
      <c r="K130" s="27">
        <f t="shared" si="67"/>
        <v>19508363</v>
      </c>
    </row>
    <row r="131" spans="1:11" ht="19.5" customHeight="1" hidden="1">
      <c r="A131" s="33" t="s">
        <v>642</v>
      </c>
      <c r="B131" s="41">
        <v>0</v>
      </c>
      <c r="C131" s="27">
        <f t="shared" si="67"/>
        <v>0</v>
      </c>
      <c r="D131" s="27">
        <f t="shared" si="67"/>
        <v>0</v>
      </c>
      <c r="E131" s="27">
        <f t="shared" si="67"/>
        <v>0</v>
      </c>
      <c r="F131" s="27">
        <f t="shared" si="67"/>
        <v>0</v>
      </c>
      <c r="G131" s="27">
        <f t="shared" si="67"/>
        <v>0</v>
      </c>
      <c r="H131" s="27">
        <f t="shared" si="67"/>
        <v>0</v>
      </c>
      <c r="I131" s="27">
        <f t="shared" si="67"/>
        <v>0</v>
      </c>
      <c r="J131" s="27">
        <f t="shared" si="67"/>
        <v>0</v>
      </c>
      <c r="K131" s="27">
        <f t="shared" si="67"/>
        <v>0</v>
      </c>
    </row>
    <row r="132" spans="1:11" ht="19.5" customHeight="1" hidden="1">
      <c r="A132" s="33" t="s">
        <v>644</v>
      </c>
      <c r="B132" s="41">
        <v>0</v>
      </c>
      <c r="C132" s="27">
        <f t="shared" si="67"/>
        <v>0</v>
      </c>
      <c r="D132" s="27">
        <f t="shared" si="67"/>
        <v>0</v>
      </c>
      <c r="E132" s="27">
        <f t="shared" si="67"/>
        <v>0</v>
      </c>
      <c r="F132" s="27">
        <f t="shared" si="67"/>
        <v>0</v>
      </c>
      <c r="G132" s="27">
        <f t="shared" si="67"/>
        <v>0</v>
      </c>
      <c r="H132" s="27">
        <f t="shared" si="67"/>
        <v>0</v>
      </c>
      <c r="I132" s="27">
        <f t="shared" si="67"/>
        <v>0</v>
      </c>
      <c r="J132" s="27">
        <f t="shared" si="67"/>
        <v>0</v>
      </c>
      <c r="K132" s="27">
        <f t="shared" si="67"/>
        <v>0</v>
      </c>
    </row>
    <row r="133" spans="1:11" ht="19.5" customHeight="1" hidden="1">
      <c r="A133" s="33" t="s">
        <v>645</v>
      </c>
      <c r="B133" s="41">
        <v>0</v>
      </c>
      <c r="C133" s="27">
        <f t="shared" si="67"/>
        <v>0</v>
      </c>
      <c r="D133" s="27">
        <f t="shared" si="67"/>
        <v>0</v>
      </c>
      <c r="E133" s="27">
        <f t="shared" si="67"/>
        <v>0</v>
      </c>
      <c r="F133" s="27">
        <f t="shared" si="67"/>
        <v>0</v>
      </c>
      <c r="G133" s="27">
        <f t="shared" si="67"/>
        <v>0</v>
      </c>
      <c r="H133" s="27">
        <f t="shared" si="67"/>
        <v>0</v>
      </c>
      <c r="I133" s="27">
        <f t="shared" si="67"/>
        <v>0</v>
      </c>
      <c r="J133" s="27">
        <f t="shared" si="67"/>
        <v>0</v>
      </c>
      <c r="K133" s="27">
        <f t="shared" si="67"/>
        <v>0</v>
      </c>
    </row>
    <row r="134" spans="1:11" ht="15" customHeight="1" hidden="1">
      <c r="A134" s="33" t="s">
        <v>646</v>
      </c>
      <c r="B134" s="41">
        <v>0</v>
      </c>
      <c r="C134" s="27">
        <f aca="true" t="shared" si="68" ref="C134:K134">+ROUND(B134*(100+$B$8)%,0)</f>
        <v>0</v>
      </c>
      <c r="D134" s="27">
        <f t="shared" si="68"/>
        <v>0</v>
      </c>
      <c r="E134" s="27">
        <f t="shared" si="68"/>
        <v>0</v>
      </c>
      <c r="F134" s="27">
        <f t="shared" si="68"/>
        <v>0</v>
      </c>
      <c r="G134" s="27">
        <f t="shared" si="68"/>
        <v>0</v>
      </c>
      <c r="H134" s="27">
        <f t="shared" si="68"/>
        <v>0</v>
      </c>
      <c r="I134" s="27">
        <f t="shared" si="68"/>
        <v>0</v>
      </c>
      <c r="J134" s="27">
        <f t="shared" si="68"/>
        <v>0</v>
      </c>
      <c r="K134" s="27">
        <f t="shared" si="68"/>
        <v>0</v>
      </c>
    </row>
    <row r="135" spans="1:11" ht="15" customHeight="1">
      <c r="A135" s="33"/>
      <c r="B135" s="41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1:11" ht="19.5" customHeight="1">
      <c r="A136" s="5" t="s">
        <v>31</v>
      </c>
      <c r="B136" s="31">
        <f>SUM(B137:B143)</f>
        <v>20000000</v>
      </c>
      <c r="C136" s="31">
        <f aca="true" t="shared" si="69" ref="C136:K136">SUM(C137:C143)</f>
        <v>21000000</v>
      </c>
      <c r="D136" s="31">
        <f t="shared" si="69"/>
        <v>22050000</v>
      </c>
      <c r="E136" s="31">
        <f t="shared" si="69"/>
        <v>23152500</v>
      </c>
      <c r="F136" s="31">
        <f t="shared" si="69"/>
        <v>24310125</v>
      </c>
      <c r="G136" s="31">
        <f t="shared" si="69"/>
        <v>25525631</v>
      </c>
      <c r="H136" s="31">
        <f t="shared" si="69"/>
        <v>26801913</v>
      </c>
      <c r="I136" s="31">
        <f t="shared" si="69"/>
        <v>28142009</v>
      </c>
      <c r="J136" s="31">
        <f t="shared" si="69"/>
        <v>29549109</v>
      </c>
      <c r="K136" s="31">
        <f t="shared" si="69"/>
        <v>31026564</v>
      </c>
    </row>
    <row r="137" spans="1:11" ht="19.5" customHeight="1">
      <c r="A137" s="33" t="s">
        <v>30</v>
      </c>
      <c r="B137" s="41">
        <v>20000000</v>
      </c>
      <c r="C137" s="27">
        <f>+ROUND(B137*(100+$B$8)%,0)</f>
        <v>21000000</v>
      </c>
      <c r="D137" s="27">
        <f aca="true" t="shared" si="70" ref="D137:K137">+ROUND(C137*(100+$B$8)%,0)</f>
        <v>22050000</v>
      </c>
      <c r="E137" s="27">
        <f t="shared" si="70"/>
        <v>23152500</v>
      </c>
      <c r="F137" s="27">
        <f t="shared" si="70"/>
        <v>24310125</v>
      </c>
      <c r="G137" s="27">
        <f t="shared" si="70"/>
        <v>25525631</v>
      </c>
      <c r="H137" s="27">
        <f t="shared" si="70"/>
        <v>26801913</v>
      </c>
      <c r="I137" s="27">
        <f t="shared" si="70"/>
        <v>28142009</v>
      </c>
      <c r="J137" s="27">
        <f t="shared" si="70"/>
        <v>29549109</v>
      </c>
      <c r="K137" s="27">
        <f t="shared" si="70"/>
        <v>31026564</v>
      </c>
    </row>
    <row r="138" spans="1:11" ht="19.5" customHeight="1" hidden="1">
      <c r="A138" s="33" t="s">
        <v>203</v>
      </c>
      <c r="B138" s="41">
        <v>0</v>
      </c>
      <c r="C138" s="27">
        <f aca="true" t="shared" si="71" ref="C138:K143">+ROUND(B138*(100+$B$8)%,0)</f>
        <v>0</v>
      </c>
      <c r="D138" s="27">
        <f t="shared" si="71"/>
        <v>0</v>
      </c>
      <c r="E138" s="27">
        <f t="shared" si="71"/>
        <v>0</v>
      </c>
      <c r="F138" s="27">
        <f t="shared" si="71"/>
        <v>0</v>
      </c>
      <c r="G138" s="27">
        <f t="shared" si="71"/>
        <v>0</v>
      </c>
      <c r="H138" s="27">
        <f t="shared" si="71"/>
        <v>0</v>
      </c>
      <c r="I138" s="27">
        <f t="shared" si="71"/>
        <v>0</v>
      </c>
      <c r="J138" s="27">
        <f t="shared" si="71"/>
        <v>0</v>
      </c>
      <c r="K138" s="27">
        <f t="shared" si="71"/>
        <v>0</v>
      </c>
    </row>
    <row r="139" spans="1:11" ht="19.5" customHeight="1" hidden="1">
      <c r="A139" s="44" t="s">
        <v>643</v>
      </c>
      <c r="B139" s="98">
        <v>0</v>
      </c>
      <c r="C139" s="27">
        <f t="shared" si="71"/>
        <v>0</v>
      </c>
      <c r="D139" s="27">
        <f t="shared" si="71"/>
        <v>0</v>
      </c>
      <c r="E139" s="27">
        <f t="shared" si="71"/>
        <v>0</v>
      </c>
      <c r="F139" s="27">
        <f t="shared" si="71"/>
        <v>0</v>
      </c>
      <c r="G139" s="27">
        <f t="shared" si="71"/>
        <v>0</v>
      </c>
      <c r="H139" s="27">
        <f t="shared" si="71"/>
        <v>0</v>
      </c>
      <c r="I139" s="27">
        <f t="shared" si="71"/>
        <v>0</v>
      </c>
      <c r="J139" s="27">
        <f t="shared" si="71"/>
        <v>0</v>
      </c>
      <c r="K139" s="27">
        <f t="shared" si="71"/>
        <v>0</v>
      </c>
    </row>
    <row r="140" spans="1:11" ht="19.5" customHeight="1" hidden="1">
      <c r="A140" s="33" t="s">
        <v>642</v>
      </c>
      <c r="B140" s="41">
        <v>0</v>
      </c>
      <c r="C140" s="27">
        <f t="shared" si="71"/>
        <v>0</v>
      </c>
      <c r="D140" s="27">
        <f t="shared" si="71"/>
        <v>0</v>
      </c>
      <c r="E140" s="27">
        <f t="shared" si="71"/>
        <v>0</v>
      </c>
      <c r="F140" s="27">
        <f t="shared" si="71"/>
        <v>0</v>
      </c>
      <c r="G140" s="27">
        <f t="shared" si="71"/>
        <v>0</v>
      </c>
      <c r="H140" s="27">
        <f t="shared" si="71"/>
        <v>0</v>
      </c>
      <c r="I140" s="27">
        <f t="shared" si="71"/>
        <v>0</v>
      </c>
      <c r="J140" s="27">
        <f t="shared" si="71"/>
        <v>0</v>
      </c>
      <c r="K140" s="27">
        <f t="shared" si="71"/>
        <v>0</v>
      </c>
    </row>
    <row r="141" spans="1:11" ht="19.5" customHeight="1" hidden="1">
      <c r="A141" s="33" t="s">
        <v>644</v>
      </c>
      <c r="B141" s="41">
        <v>0</v>
      </c>
      <c r="C141" s="27">
        <f t="shared" si="71"/>
        <v>0</v>
      </c>
      <c r="D141" s="27">
        <f t="shared" si="71"/>
        <v>0</v>
      </c>
      <c r="E141" s="27">
        <f t="shared" si="71"/>
        <v>0</v>
      </c>
      <c r="F141" s="27">
        <f t="shared" si="71"/>
        <v>0</v>
      </c>
      <c r="G141" s="27">
        <f t="shared" si="71"/>
        <v>0</v>
      </c>
      <c r="H141" s="27">
        <f t="shared" si="71"/>
        <v>0</v>
      </c>
      <c r="I141" s="27">
        <f t="shared" si="71"/>
        <v>0</v>
      </c>
      <c r="J141" s="27">
        <f t="shared" si="71"/>
        <v>0</v>
      </c>
      <c r="K141" s="27">
        <f t="shared" si="71"/>
        <v>0</v>
      </c>
    </row>
    <row r="142" spans="1:11" ht="19.5" customHeight="1" hidden="1">
      <c r="A142" s="33" t="s">
        <v>645</v>
      </c>
      <c r="B142" s="41">
        <v>0</v>
      </c>
      <c r="C142" s="27">
        <f t="shared" si="71"/>
        <v>0</v>
      </c>
      <c r="D142" s="27">
        <f t="shared" si="71"/>
        <v>0</v>
      </c>
      <c r="E142" s="27">
        <f t="shared" si="71"/>
        <v>0</v>
      </c>
      <c r="F142" s="27">
        <f t="shared" si="71"/>
        <v>0</v>
      </c>
      <c r="G142" s="27">
        <f t="shared" si="71"/>
        <v>0</v>
      </c>
      <c r="H142" s="27">
        <f t="shared" si="71"/>
        <v>0</v>
      </c>
      <c r="I142" s="27">
        <f t="shared" si="71"/>
        <v>0</v>
      </c>
      <c r="J142" s="27">
        <f t="shared" si="71"/>
        <v>0</v>
      </c>
      <c r="K142" s="27">
        <f t="shared" si="71"/>
        <v>0</v>
      </c>
    </row>
    <row r="143" spans="1:11" ht="15" customHeight="1" hidden="1">
      <c r="A143" s="33" t="s">
        <v>646</v>
      </c>
      <c r="B143" s="41">
        <v>0</v>
      </c>
      <c r="C143" s="27">
        <f t="shared" si="71"/>
        <v>0</v>
      </c>
      <c r="D143" s="27">
        <f t="shared" si="71"/>
        <v>0</v>
      </c>
      <c r="E143" s="27">
        <f t="shared" si="71"/>
        <v>0</v>
      </c>
      <c r="F143" s="27">
        <f t="shared" si="71"/>
        <v>0</v>
      </c>
      <c r="G143" s="27">
        <f t="shared" si="71"/>
        <v>0</v>
      </c>
      <c r="H143" s="27">
        <f t="shared" si="71"/>
        <v>0</v>
      </c>
      <c r="I143" s="27">
        <f t="shared" si="71"/>
        <v>0</v>
      </c>
      <c r="J143" s="27">
        <f t="shared" si="71"/>
        <v>0</v>
      </c>
      <c r="K143" s="27">
        <f t="shared" si="71"/>
        <v>0</v>
      </c>
    </row>
    <row r="144" spans="1:11" ht="19.5" customHeight="1">
      <c r="A144" s="33"/>
      <c r="B144" s="41"/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1:11" ht="19.5" customHeight="1">
      <c r="A145" s="5" t="s">
        <v>201</v>
      </c>
      <c r="B145" s="31">
        <f>SUM(B146:B150)</f>
        <v>98842755.67999999</v>
      </c>
      <c r="C145" s="31">
        <f aca="true" t="shared" si="72" ref="C145:K145">SUM(C146:C150)</f>
        <v>0</v>
      </c>
      <c r="D145" s="31">
        <f t="shared" si="72"/>
        <v>0</v>
      </c>
      <c r="E145" s="31">
        <f t="shared" si="72"/>
        <v>0</v>
      </c>
      <c r="F145" s="31">
        <f t="shared" si="72"/>
        <v>0</v>
      </c>
      <c r="G145" s="31">
        <f t="shared" si="72"/>
        <v>0</v>
      </c>
      <c r="H145" s="31">
        <f t="shared" si="72"/>
        <v>0</v>
      </c>
      <c r="I145" s="31">
        <f t="shared" si="72"/>
        <v>0</v>
      </c>
      <c r="J145" s="31">
        <f t="shared" si="72"/>
        <v>0</v>
      </c>
      <c r="K145" s="31">
        <f t="shared" si="72"/>
        <v>0</v>
      </c>
    </row>
    <row r="146" spans="1:11" ht="19.5" customHeight="1" hidden="1">
      <c r="A146" s="33" t="s">
        <v>30</v>
      </c>
      <c r="B146" s="41">
        <v>0</v>
      </c>
      <c r="C146" s="27">
        <v>0</v>
      </c>
      <c r="D146" s="27">
        <f aca="true" t="shared" si="73" ref="D146:K150">+ROUND(C146*(100+$B$8)%,0)</f>
        <v>0</v>
      </c>
      <c r="E146" s="27">
        <f t="shared" si="73"/>
        <v>0</v>
      </c>
      <c r="F146" s="27">
        <f t="shared" si="73"/>
        <v>0</v>
      </c>
      <c r="G146" s="27">
        <f t="shared" si="73"/>
        <v>0</v>
      </c>
      <c r="H146" s="27">
        <f t="shared" si="73"/>
        <v>0</v>
      </c>
      <c r="I146" s="27">
        <f t="shared" si="73"/>
        <v>0</v>
      </c>
      <c r="J146" s="27">
        <f t="shared" si="73"/>
        <v>0</v>
      </c>
      <c r="K146" s="27">
        <f t="shared" si="73"/>
        <v>0</v>
      </c>
    </row>
    <row r="147" spans="1:11" ht="25.5" customHeight="1">
      <c r="A147" s="33" t="s">
        <v>665</v>
      </c>
      <c r="B147" s="41">
        <f>82038399.94+10816270.5</f>
        <v>92854670.44</v>
      </c>
      <c r="C147" s="27">
        <v>0</v>
      </c>
      <c r="D147" s="27">
        <f t="shared" si="73"/>
        <v>0</v>
      </c>
      <c r="E147" s="27">
        <f t="shared" si="73"/>
        <v>0</v>
      </c>
      <c r="F147" s="27">
        <f t="shared" si="73"/>
        <v>0</v>
      </c>
      <c r="G147" s="27">
        <f t="shared" si="73"/>
        <v>0</v>
      </c>
      <c r="H147" s="27">
        <f t="shared" si="73"/>
        <v>0</v>
      </c>
      <c r="I147" s="27">
        <f t="shared" si="73"/>
        <v>0</v>
      </c>
      <c r="J147" s="27">
        <f t="shared" si="73"/>
        <v>0</v>
      </c>
      <c r="K147" s="27">
        <f t="shared" si="73"/>
        <v>0</v>
      </c>
    </row>
    <row r="148" spans="1:11" ht="27.75" customHeight="1">
      <c r="A148" s="33" t="s">
        <v>666</v>
      </c>
      <c r="B148" s="41">
        <f>5988085.24</f>
        <v>5988085.24</v>
      </c>
      <c r="C148" s="27">
        <v>0</v>
      </c>
      <c r="D148" s="27">
        <f t="shared" si="73"/>
        <v>0</v>
      </c>
      <c r="E148" s="27">
        <f t="shared" si="73"/>
        <v>0</v>
      </c>
      <c r="F148" s="27">
        <f t="shared" si="73"/>
        <v>0</v>
      </c>
      <c r="G148" s="27">
        <f t="shared" si="73"/>
        <v>0</v>
      </c>
      <c r="H148" s="27">
        <f t="shared" si="73"/>
        <v>0</v>
      </c>
      <c r="I148" s="27">
        <f t="shared" si="73"/>
        <v>0</v>
      </c>
      <c r="J148" s="27">
        <f t="shared" si="73"/>
        <v>0</v>
      </c>
      <c r="K148" s="27">
        <f t="shared" si="73"/>
        <v>0</v>
      </c>
    </row>
    <row r="149" spans="1:11" ht="19.5" customHeight="1" hidden="1">
      <c r="A149" s="44" t="s">
        <v>643</v>
      </c>
      <c r="B149" s="98">
        <v>0</v>
      </c>
      <c r="C149" s="27">
        <f>+ROUND(B149*(100+$B$8)%,0)</f>
        <v>0</v>
      </c>
      <c r="D149" s="27">
        <f t="shared" si="73"/>
        <v>0</v>
      </c>
      <c r="E149" s="27">
        <f t="shared" si="73"/>
        <v>0</v>
      </c>
      <c r="F149" s="27">
        <f t="shared" si="73"/>
        <v>0</v>
      </c>
      <c r="G149" s="27">
        <f t="shared" si="73"/>
        <v>0</v>
      </c>
      <c r="H149" s="27">
        <f t="shared" si="73"/>
        <v>0</v>
      </c>
      <c r="I149" s="27">
        <f t="shared" si="73"/>
        <v>0</v>
      </c>
      <c r="J149" s="27">
        <f t="shared" si="73"/>
        <v>0</v>
      </c>
      <c r="K149" s="27">
        <f t="shared" si="73"/>
        <v>0</v>
      </c>
    </row>
    <row r="150" spans="1:11" ht="19.5" customHeight="1" hidden="1">
      <c r="A150" s="33" t="s">
        <v>642</v>
      </c>
      <c r="B150" s="41">
        <v>0</v>
      </c>
      <c r="C150" s="27">
        <f>+ROUND(B150*(100+$B$8)%,0)</f>
        <v>0</v>
      </c>
      <c r="D150" s="27">
        <f t="shared" si="73"/>
        <v>0</v>
      </c>
      <c r="E150" s="27">
        <f t="shared" si="73"/>
        <v>0</v>
      </c>
      <c r="F150" s="27">
        <f t="shared" si="73"/>
        <v>0</v>
      </c>
      <c r="G150" s="27">
        <f t="shared" si="73"/>
        <v>0</v>
      </c>
      <c r="H150" s="27">
        <f t="shared" si="73"/>
        <v>0</v>
      </c>
      <c r="I150" s="27">
        <f t="shared" si="73"/>
        <v>0</v>
      </c>
      <c r="J150" s="27">
        <f t="shared" si="73"/>
        <v>0</v>
      </c>
      <c r="K150" s="27">
        <f t="shared" si="73"/>
        <v>0</v>
      </c>
    </row>
    <row r="151" spans="1:11" ht="19.5" customHeight="1">
      <c r="A151" s="33"/>
      <c r="B151" s="41"/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1:11" ht="19.5" customHeight="1">
      <c r="A152" s="5" t="s">
        <v>202</v>
      </c>
      <c r="B152" s="31">
        <f>SUM(B153:B157)</f>
        <v>70307262.99</v>
      </c>
      <c r="C152" s="31">
        <f aca="true" t="shared" si="74" ref="C152:K152">SUM(C153:C157)</f>
        <v>73822626</v>
      </c>
      <c r="D152" s="31">
        <f t="shared" si="74"/>
        <v>77513758</v>
      </c>
      <c r="E152" s="31">
        <f t="shared" si="74"/>
        <v>81389446</v>
      </c>
      <c r="F152" s="31">
        <f t="shared" si="74"/>
        <v>85458918</v>
      </c>
      <c r="G152" s="31">
        <f t="shared" si="74"/>
        <v>89731864</v>
      </c>
      <c r="H152" s="31">
        <f t="shared" si="74"/>
        <v>94218458</v>
      </c>
      <c r="I152" s="31">
        <f t="shared" si="74"/>
        <v>98929381</v>
      </c>
      <c r="J152" s="31">
        <f t="shared" si="74"/>
        <v>103875850</v>
      </c>
      <c r="K152" s="31">
        <f t="shared" si="74"/>
        <v>109069642</v>
      </c>
    </row>
    <row r="153" spans="1:11" ht="19.5" customHeight="1" hidden="1">
      <c r="A153" s="33" t="s">
        <v>30</v>
      </c>
      <c r="B153" s="41">
        <v>0</v>
      </c>
      <c r="C153" s="27">
        <f>+ROUND(B153*(100+$B$8)%,0)</f>
        <v>0</v>
      </c>
      <c r="D153" s="27">
        <f aca="true" t="shared" si="75" ref="D153:K153">+ROUND(C153*(100+$B$8)%,0)</f>
        <v>0</v>
      </c>
      <c r="E153" s="27">
        <f t="shared" si="75"/>
        <v>0</v>
      </c>
      <c r="F153" s="27">
        <f t="shared" si="75"/>
        <v>0</v>
      </c>
      <c r="G153" s="27">
        <f t="shared" si="75"/>
        <v>0</v>
      </c>
      <c r="H153" s="27">
        <f t="shared" si="75"/>
        <v>0</v>
      </c>
      <c r="I153" s="27">
        <f t="shared" si="75"/>
        <v>0</v>
      </c>
      <c r="J153" s="27">
        <f t="shared" si="75"/>
        <v>0</v>
      </c>
      <c r="K153" s="27">
        <f t="shared" si="75"/>
        <v>0</v>
      </c>
    </row>
    <row r="154" spans="1:11" ht="19.5" customHeight="1">
      <c r="A154" s="33" t="s">
        <v>203</v>
      </c>
      <c r="B154" s="41">
        <v>69127843.49</v>
      </c>
      <c r="C154" s="27">
        <f aca="true" t="shared" si="76" ref="C154:K157">+ROUND(B154*(100+$B$8)%,0)</f>
        <v>72584236</v>
      </c>
      <c r="D154" s="27">
        <f t="shared" si="76"/>
        <v>76213448</v>
      </c>
      <c r="E154" s="27">
        <f t="shared" si="76"/>
        <v>80024120</v>
      </c>
      <c r="F154" s="27">
        <f t="shared" si="76"/>
        <v>84025326</v>
      </c>
      <c r="G154" s="27">
        <f t="shared" si="76"/>
        <v>88226592</v>
      </c>
      <c r="H154" s="27">
        <f t="shared" si="76"/>
        <v>92637922</v>
      </c>
      <c r="I154" s="27">
        <f t="shared" si="76"/>
        <v>97269818</v>
      </c>
      <c r="J154" s="27">
        <f t="shared" si="76"/>
        <v>102133309</v>
      </c>
      <c r="K154" s="27">
        <f t="shared" si="76"/>
        <v>107239974</v>
      </c>
    </row>
    <row r="155" spans="1:11" ht="24.75" customHeight="1">
      <c r="A155" s="33" t="s">
        <v>683</v>
      </c>
      <c r="B155" s="41">
        <v>1179419.5</v>
      </c>
      <c r="C155" s="27">
        <f t="shared" si="76"/>
        <v>1238390</v>
      </c>
      <c r="D155" s="27">
        <f t="shared" si="76"/>
        <v>1300310</v>
      </c>
      <c r="E155" s="27">
        <f t="shared" si="76"/>
        <v>1365326</v>
      </c>
      <c r="F155" s="27">
        <f t="shared" si="76"/>
        <v>1433592</v>
      </c>
      <c r="G155" s="27">
        <f t="shared" si="76"/>
        <v>1505272</v>
      </c>
      <c r="H155" s="27">
        <f t="shared" si="76"/>
        <v>1580536</v>
      </c>
      <c r="I155" s="27">
        <f t="shared" si="76"/>
        <v>1659563</v>
      </c>
      <c r="J155" s="27">
        <f t="shared" si="76"/>
        <v>1742541</v>
      </c>
      <c r="K155" s="27">
        <f t="shared" si="76"/>
        <v>1829668</v>
      </c>
    </row>
    <row r="156" spans="1:11" ht="19.5" customHeight="1">
      <c r="A156" s="44" t="s">
        <v>643</v>
      </c>
      <c r="B156" s="98">
        <v>0</v>
      </c>
      <c r="C156" s="27">
        <f t="shared" si="76"/>
        <v>0</v>
      </c>
      <c r="D156" s="27">
        <f t="shared" si="76"/>
        <v>0</v>
      </c>
      <c r="E156" s="27">
        <f t="shared" si="76"/>
        <v>0</v>
      </c>
      <c r="F156" s="27">
        <f t="shared" si="76"/>
        <v>0</v>
      </c>
      <c r="G156" s="27">
        <f t="shared" si="76"/>
        <v>0</v>
      </c>
      <c r="H156" s="27">
        <f t="shared" si="76"/>
        <v>0</v>
      </c>
      <c r="I156" s="27">
        <f t="shared" si="76"/>
        <v>0</v>
      </c>
      <c r="J156" s="27">
        <f t="shared" si="76"/>
        <v>0</v>
      </c>
      <c r="K156" s="27">
        <f t="shared" si="76"/>
        <v>0</v>
      </c>
    </row>
    <row r="157" spans="1:11" ht="19.5" customHeight="1">
      <c r="A157" s="33" t="s">
        <v>642</v>
      </c>
      <c r="B157" s="41">
        <v>0</v>
      </c>
      <c r="C157" s="27">
        <f t="shared" si="76"/>
        <v>0</v>
      </c>
      <c r="D157" s="27">
        <f t="shared" si="76"/>
        <v>0</v>
      </c>
      <c r="E157" s="27">
        <f t="shared" si="76"/>
        <v>0</v>
      </c>
      <c r="F157" s="27">
        <f t="shared" si="76"/>
        <v>0</v>
      </c>
      <c r="G157" s="27">
        <f t="shared" si="76"/>
        <v>0</v>
      </c>
      <c r="H157" s="27">
        <f t="shared" si="76"/>
        <v>0</v>
      </c>
      <c r="I157" s="27">
        <f t="shared" si="76"/>
        <v>0</v>
      </c>
      <c r="J157" s="27">
        <f t="shared" si="76"/>
        <v>0</v>
      </c>
      <c r="K157" s="27">
        <f t="shared" si="76"/>
        <v>0</v>
      </c>
    </row>
    <row r="158" spans="1:11" ht="19.5" customHeight="1">
      <c r="A158" s="33"/>
      <c r="B158" s="41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1:11" ht="19.5" customHeight="1">
      <c r="A159" s="5" t="s">
        <v>406</v>
      </c>
      <c r="B159" s="38">
        <f aca="true" t="shared" si="77" ref="B159:K159">SUM(B160:B161)</f>
        <v>64516931</v>
      </c>
      <c r="C159" s="38">
        <f t="shared" si="77"/>
        <v>67742778</v>
      </c>
      <c r="D159" s="38">
        <f t="shared" si="77"/>
        <v>71129917</v>
      </c>
      <c r="E159" s="38">
        <f t="shared" si="77"/>
        <v>74686413</v>
      </c>
      <c r="F159" s="38">
        <f t="shared" si="77"/>
        <v>78420734</v>
      </c>
      <c r="G159" s="38">
        <f t="shared" si="77"/>
        <v>82341771</v>
      </c>
      <c r="H159" s="38">
        <f t="shared" si="77"/>
        <v>86458860</v>
      </c>
      <c r="I159" s="38">
        <f t="shared" si="77"/>
        <v>90781803</v>
      </c>
      <c r="J159" s="38">
        <f t="shared" si="77"/>
        <v>95320893</v>
      </c>
      <c r="K159" s="38">
        <f t="shared" si="77"/>
        <v>100086938</v>
      </c>
    </row>
    <row r="160" spans="1:11" ht="24" customHeight="1" hidden="1">
      <c r="A160" s="5" t="s">
        <v>417</v>
      </c>
      <c r="B160" s="41">
        <v>0</v>
      </c>
      <c r="C160" s="27">
        <f aca="true" t="shared" si="78" ref="C160:K160">+ROUND(B160*(100+$B$8)%,0)</f>
        <v>0</v>
      </c>
      <c r="D160" s="27">
        <f t="shared" si="78"/>
        <v>0</v>
      </c>
      <c r="E160" s="27">
        <f t="shared" si="78"/>
        <v>0</v>
      </c>
      <c r="F160" s="27">
        <f t="shared" si="78"/>
        <v>0</v>
      </c>
      <c r="G160" s="27">
        <f t="shared" si="78"/>
        <v>0</v>
      </c>
      <c r="H160" s="27">
        <f t="shared" si="78"/>
        <v>0</v>
      </c>
      <c r="I160" s="27">
        <f t="shared" si="78"/>
        <v>0</v>
      </c>
      <c r="J160" s="27">
        <f t="shared" si="78"/>
        <v>0</v>
      </c>
      <c r="K160" s="27">
        <f t="shared" si="78"/>
        <v>0</v>
      </c>
    </row>
    <row r="161" spans="1:11" ht="27.75" customHeight="1">
      <c r="A161" s="5" t="s">
        <v>29</v>
      </c>
      <c r="B161" s="98">
        <v>64516931</v>
      </c>
      <c r="C161" s="27">
        <f aca="true" t="shared" si="79" ref="C161:K161">+ROUND(B161*(100+$B$8)%,0)</f>
        <v>67742778</v>
      </c>
      <c r="D161" s="27">
        <f t="shared" si="79"/>
        <v>71129917</v>
      </c>
      <c r="E161" s="27">
        <f t="shared" si="79"/>
        <v>74686413</v>
      </c>
      <c r="F161" s="27">
        <f t="shared" si="79"/>
        <v>78420734</v>
      </c>
      <c r="G161" s="27">
        <f t="shared" si="79"/>
        <v>82341771</v>
      </c>
      <c r="H161" s="27">
        <f t="shared" si="79"/>
        <v>86458860</v>
      </c>
      <c r="I161" s="27">
        <f t="shared" si="79"/>
        <v>90781803</v>
      </c>
      <c r="J161" s="27">
        <f t="shared" si="79"/>
        <v>95320893</v>
      </c>
      <c r="K161" s="27">
        <f t="shared" si="79"/>
        <v>100086938</v>
      </c>
    </row>
    <row r="162" spans="1:11" ht="19.5" customHeight="1">
      <c r="A162" s="28"/>
      <c r="B162" s="103"/>
      <c r="C162" s="27"/>
      <c r="D162" s="27"/>
      <c r="E162" s="27"/>
      <c r="F162" s="27"/>
      <c r="G162" s="27"/>
      <c r="H162" s="27"/>
      <c r="I162" s="27"/>
      <c r="J162" s="27"/>
      <c r="K162" s="27"/>
    </row>
    <row r="163" spans="1:11" ht="19.5" customHeight="1" hidden="1">
      <c r="A163" s="5" t="s">
        <v>647</v>
      </c>
      <c r="B163" s="38">
        <f aca="true" t="shared" si="80" ref="B163:K163">SUM(B164)</f>
        <v>0</v>
      </c>
      <c r="C163" s="38">
        <f t="shared" si="80"/>
        <v>0</v>
      </c>
      <c r="D163" s="38">
        <f t="shared" si="80"/>
        <v>0</v>
      </c>
      <c r="E163" s="38">
        <f t="shared" si="80"/>
        <v>0</v>
      </c>
      <c r="F163" s="38">
        <f t="shared" si="80"/>
        <v>0</v>
      </c>
      <c r="G163" s="38">
        <f t="shared" si="80"/>
        <v>0</v>
      </c>
      <c r="H163" s="38">
        <f t="shared" si="80"/>
        <v>0</v>
      </c>
      <c r="I163" s="38">
        <f t="shared" si="80"/>
        <v>0</v>
      </c>
      <c r="J163" s="38">
        <f t="shared" si="80"/>
        <v>0</v>
      </c>
      <c r="K163" s="38">
        <f t="shared" si="80"/>
        <v>0</v>
      </c>
    </row>
    <row r="164" spans="1:11" ht="24" customHeight="1" hidden="1">
      <c r="A164" s="5" t="s">
        <v>417</v>
      </c>
      <c r="B164" s="41">
        <v>0</v>
      </c>
      <c r="C164" s="27">
        <f aca="true" t="shared" si="81" ref="C164:K164">+ROUND(B164*(100+$B$8)%,0)</f>
        <v>0</v>
      </c>
      <c r="D164" s="27">
        <f t="shared" si="81"/>
        <v>0</v>
      </c>
      <c r="E164" s="27">
        <f t="shared" si="81"/>
        <v>0</v>
      </c>
      <c r="F164" s="27">
        <f t="shared" si="81"/>
        <v>0</v>
      </c>
      <c r="G164" s="27">
        <f t="shared" si="81"/>
        <v>0</v>
      </c>
      <c r="H164" s="27">
        <f t="shared" si="81"/>
        <v>0</v>
      </c>
      <c r="I164" s="27">
        <f t="shared" si="81"/>
        <v>0</v>
      </c>
      <c r="J164" s="27">
        <f t="shared" si="81"/>
        <v>0</v>
      </c>
      <c r="K164" s="27">
        <f t="shared" si="81"/>
        <v>0</v>
      </c>
    </row>
    <row r="165" spans="1:11" ht="27.75" customHeight="1" hidden="1">
      <c r="A165" s="5"/>
      <c r="B165" s="98"/>
      <c r="C165" s="27"/>
      <c r="D165" s="27"/>
      <c r="E165" s="27"/>
      <c r="F165" s="27"/>
      <c r="G165" s="27"/>
      <c r="H165" s="27"/>
      <c r="I165" s="27"/>
      <c r="J165" s="27"/>
      <c r="K165" s="27"/>
    </row>
    <row r="166" spans="1:11" ht="19.5" customHeight="1" hidden="1">
      <c r="A166" s="33"/>
      <c r="B166" s="99"/>
      <c r="C166" s="27"/>
      <c r="D166" s="27"/>
      <c r="E166" s="27"/>
      <c r="F166" s="27"/>
      <c r="G166" s="27"/>
      <c r="H166" s="27"/>
      <c r="I166" s="27"/>
      <c r="J166" s="27"/>
      <c r="K166" s="27"/>
    </row>
    <row r="167" spans="1:11" ht="19.5" customHeight="1" hidden="1">
      <c r="A167" s="33"/>
      <c r="B167" s="99"/>
      <c r="C167" s="27"/>
      <c r="D167" s="27"/>
      <c r="E167" s="27"/>
      <c r="F167" s="27"/>
      <c r="G167" s="27"/>
      <c r="H167" s="27"/>
      <c r="I167" s="27"/>
      <c r="J167" s="27"/>
      <c r="K167" s="27"/>
    </row>
    <row r="168" spans="1:11" ht="19.5" customHeight="1" hidden="1">
      <c r="A168" s="33"/>
      <c r="B168" s="99"/>
      <c r="C168" s="27"/>
      <c r="D168" s="27"/>
      <c r="E168" s="27"/>
      <c r="F168" s="27"/>
      <c r="G168" s="27"/>
      <c r="H168" s="27"/>
      <c r="I168" s="27"/>
      <c r="J168" s="27"/>
      <c r="K168" s="27"/>
    </row>
    <row r="169" spans="1:11" ht="43.5" customHeight="1" hidden="1">
      <c r="A169" s="5" t="s">
        <v>32</v>
      </c>
      <c r="B169" s="31">
        <f aca="true" t="shared" si="82" ref="B169:K169">SUM(B170:B170)</f>
        <v>0</v>
      </c>
      <c r="C169" s="31">
        <f t="shared" si="82"/>
        <v>0</v>
      </c>
      <c r="D169" s="31">
        <f t="shared" si="82"/>
        <v>0</v>
      </c>
      <c r="E169" s="31">
        <f t="shared" si="82"/>
        <v>0</v>
      </c>
      <c r="F169" s="31">
        <f t="shared" si="82"/>
        <v>0</v>
      </c>
      <c r="G169" s="31">
        <f t="shared" si="82"/>
        <v>0</v>
      </c>
      <c r="H169" s="31">
        <f t="shared" si="82"/>
        <v>0</v>
      </c>
      <c r="I169" s="31">
        <f t="shared" si="82"/>
        <v>0</v>
      </c>
      <c r="J169" s="31">
        <f t="shared" si="82"/>
        <v>0</v>
      </c>
      <c r="K169" s="31">
        <f t="shared" si="82"/>
        <v>0</v>
      </c>
    </row>
    <row r="170" spans="1:11" ht="39" customHeight="1" hidden="1">
      <c r="A170" s="33" t="s">
        <v>652</v>
      </c>
      <c r="B170" s="41">
        <f>+B171</f>
        <v>0</v>
      </c>
      <c r="C170" s="27">
        <f aca="true" t="shared" si="83" ref="C170:K170">+C171</f>
        <v>0</v>
      </c>
      <c r="D170" s="27">
        <f t="shared" si="83"/>
        <v>0</v>
      </c>
      <c r="E170" s="27">
        <f t="shared" si="83"/>
        <v>0</v>
      </c>
      <c r="F170" s="27">
        <f t="shared" si="83"/>
        <v>0</v>
      </c>
      <c r="G170" s="27">
        <f t="shared" si="83"/>
        <v>0</v>
      </c>
      <c r="H170" s="27">
        <f t="shared" si="83"/>
        <v>0</v>
      </c>
      <c r="I170" s="27">
        <f t="shared" si="83"/>
        <v>0</v>
      </c>
      <c r="J170" s="27">
        <f t="shared" si="83"/>
        <v>0</v>
      </c>
      <c r="K170" s="27">
        <f t="shared" si="83"/>
        <v>0</v>
      </c>
    </row>
    <row r="171" spans="1:11" ht="19.5" customHeight="1">
      <c r="A171" s="33"/>
      <c r="B171" s="41"/>
      <c r="C171" s="27"/>
      <c r="D171" s="27"/>
      <c r="E171" s="27"/>
      <c r="F171" s="27"/>
      <c r="G171" s="27"/>
      <c r="H171" s="27"/>
      <c r="I171" s="27"/>
      <c r="J171" s="27"/>
      <c r="K171" s="27"/>
    </row>
    <row r="172" spans="1:11" ht="19.5" customHeight="1">
      <c r="A172" s="5" t="s">
        <v>33</v>
      </c>
      <c r="B172" s="38">
        <f>+B173</f>
        <v>10000000</v>
      </c>
      <c r="C172" s="38">
        <f aca="true" t="shared" si="84" ref="C172:K172">+C173</f>
        <v>10500000</v>
      </c>
      <c r="D172" s="38">
        <f t="shared" si="84"/>
        <v>11025000</v>
      </c>
      <c r="E172" s="38">
        <f t="shared" si="84"/>
        <v>11576250</v>
      </c>
      <c r="F172" s="38">
        <f t="shared" si="84"/>
        <v>12155063</v>
      </c>
      <c r="G172" s="38">
        <f t="shared" si="84"/>
        <v>12762816</v>
      </c>
      <c r="H172" s="38">
        <f t="shared" si="84"/>
        <v>13400957</v>
      </c>
      <c r="I172" s="38">
        <f t="shared" si="84"/>
        <v>14071005</v>
      </c>
      <c r="J172" s="38">
        <f t="shared" si="84"/>
        <v>14774555</v>
      </c>
      <c r="K172" s="38">
        <f t="shared" si="84"/>
        <v>15513283</v>
      </c>
    </row>
    <row r="173" spans="1:11" ht="19.5" customHeight="1">
      <c r="A173" s="33" t="s">
        <v>34</v>
      </c>
      <c r="B173" s="41">
        <v>10000000</v>
      </c>
      <c r="C173" s="27">
        <f aca="true" t="shared" si="85" ref="C173:K173">+ROUND(B173*(100+$B$8)%,0)</f>
        <v>10500000</v>
      </c>
      <c r="D173" s="27">
        <f t="shared" si="85"/>
        <v>11025000</v>
      </c>
      <c r="E173" s="27">
        <f t="shared" si="85"/>
        <v>11576250</v>
      </c>
      <c r="F173" s="27">
        <f t="shared" si="85"/>
        <v>12155063</v>
      </c>
      <c r="G173" s="27">
        <f t="shared" si="85"/>
        <v>12762816</v>
      </c>
      <c r="H173" s="27">
        <f t="shared" si="85"/>
        <v>13400957</v>
      </c>
      <c r="I173" s="27">
        <f t="shared" si="85"/>
        <v>14071005</v>
      </c>
      <c r="J173" s="27">
        <f t="shared" si="85"/>
        <v>14774555</v>
      </c>
      <c r="K173" s="27">
        <f t="shared" si="85"/>
        <v>15513283</v>
      </c>
    </row>
    <row r="174" spans="1:11" ht="19.5" customHeight="1">
      <c r="A174" s="33"/>
      <c r="B174" s="41"/>
      <c r="C174" s="27"/>
      <c r="D174" s="27"/>
      <c r="E174" s="27"/>
      <c r="F174" s="27"/>
      <c r="G174" s="27"/>
      <c r="H174" s="27"/>
      <c r="I174" s="27"/>
      <c r="J174" s="27"/>
      <c r="K174" s="27"/>
    </row>
    <row r="175" spans="1:11" ht="19.5" customHeight="1">
      <c r="A175" s="5" t="s">
        <v>35</v>
      </c>
      <c r="B175" s="38">
        <f>+B176</f>
        <v>30000000</v>
      </c>
      <c r="C175" s="25">
        <f aca="true" t="shared" si="86" ref="C175:K175">+C176</f>
        <v>31500000</v>
      </c>
      <c r="D175" s="25">
        <f t="shared" si="86"/>
        <v>33075000</v>
      </c>
      <c r="E175" s="25">
        <f t="shared" si="86"/>
        <v>34728750</v>
      </c>
      <c r="F175" s="25">
        <f t="shared" si="86"/>
        <v>36465188</v>
      </c>
      <c r="G175" s="25">
        <f t="shared" si="86"/>
        <v>38288447</v>
      </c>
      <c r="H175" s="25">
        <f t="shared" si="86"/>
        <v>40202869</v>
      </c>
      <c r="I175" s="25">
        <f t="shared" si="86"/>
        <v>42213012</v>
      </c>
      <c r="J175" s="25">
        <f t="shared" si="86"/>
        <v>44323663</v>
      </c>
      <c r="K175" s="25">
        <f t="shared" si="86"/>
        <v>46539846</v>
      </c>
    </row>
    <row r="176" spans="1:11" ht="19.5" customHeight="1">
      <c r="A176" s="33" t="s">
        <v>36</v>
      </c>
      <c r="B176" s="41">
        <v>30000000</v>
      </c>
      <c r="C176" s="27">
        <f aca="true" t="shared" si="87" ref="C176:K176">+ROUND(B176*(100+$B$8)%,0)</f>
        <v>31500000</v>
      </c>
      <c r="D176" s="27">
        <f t="shared" si="87"/>
        <v>33075000</v>
      </c>
      <c r="E176" s="27">
        <f t="shared" si="87"/>
        <v>34728750</v>
      </c>
      <c r="F176" s="27">
        <f t="shared" si="87"/>
        <v>36465188</v>
      </c>
      <c r="G176" s="27">
        <f t="shared" si="87"/>
        <v>38288447</v>
      </c>
      <c r="H176" s="27">
        <f t="shared" si="87"/>
        <v>40202869</v>
      </c>
      <c r="I176" s="27">
        <f t="shared" si="87"/>
        <v>42213012</v>
      </c>
      <c r="J176" s="27">
        <f t="shared" si="87"/>
        <v>44323663</v>
      </c>
      <c r="K176" s="27">
        <f t="shared" si="87"/>
        <v>46539846</v>
      </c>
    </row>
    <row r="177" spans="1:11" ht="19.5" customHeight="1">
      <c r="A177" s="33"/>
      <c r="B177" s="41"/>
      <c r="C177" s="27"/>
      <c r="D177" s="27"/>
      <c r="E177" s="27"/>
      <c r="F177" s="27"/>
      <c r="G177" s="27"/>
      <c r="H177" s="27"/>
      <c r="I177" s="27"/>
      <c r="J177" s="27"/>
      <c r="K177" s="27"/>
    </row>
    <row r="178" spans="1:11" ht="30" customHeight="1">
      <c r="A178" s="5" t="s">
        <v>663</v>
      </c>
      <c r="B178" s="38">
        <f>+B179</f>
        <v>15000000</v>
      </c>
      <c r="C178" s="25">
        <f aca="true" t="shared" si="88" ref="C178:K180">+C179</f>
        <v>15750000</v>
      </c>
      <c r="D178" s="25">
        <f t="shared" si="88"/>
        <v>16537500</v>
      </c>
      <c r="E178" s="25">
        <f t="shared" si="88"/>
        <v>17364375</v>
      </c>
      <c r="F178" s="25">
        <f t="shared" si="88"/>
        <v>18232594</v>
      </c>
      <c r="G178" s="25">
        <f t="shared" si="88"/>
        <v>19144224</v>
      </c>
      <c r="H178" s="25">
        <f t="shared" si="88"/>
        <v>20101435</v>
      </c>
      <c r="I178" s="25">
        <f t="shared" si="88"/>
        <v>21106507</v>
      </c>
      <c r="J178" s="25">
        <f t="shared" si="88"/>
        <v>22161832</v>
      </c>
      <c r="K178" s="25">
        <f t="shared" si="88"/>
        <v>23269924</v>
      </c>
    </row>
    <row r="179" spans="1:11" ht="19.5" customHeight="1">
      <c r="A179" s="33" t="s">
        <v>37</v>
      </c>
      <c r="B179" s="38">
        <f>+B180</f>
        <v>15000000</v>
      </c>
      <c r="C179" s="25">
        <f t="shared" si="88"/>
        <v>15750000</v>
      </c>
      <c r="D179" s="25">
        <f t="shared" si="88"/>
        <v>16537500</v>
      </c>
      <c r="E179" s="25">
        <f t="shared" si="88"/>
        <v>17364375</v>
      </c>
      <c r="F179" s="25">
        <f t="shared" si="88"/>
        <v>18232594</v>
      </c>
      <c r="G179" s="25">
        <f t="shared" si="88"/>
        <v>19144224</v>
      </c>
      <c r="H179" s="25">
        <f t="shared" si="88"/>
        <v>20101435</v>
      </c>
      <c r="I179" s="25">
        <f t="shared" si="88"/>
        <v>21106507</v>
      </c>
      <c r="J179" s="25">
        <f t="shared" si="88"/>
        <v>22161832</v>
      </c>
      <c r="K179" s="25">
        <f t="shared" si="88"/>
        <v>23269924</v>
      </c>
    </row>
    <row r="180" spans="1:11" ht="19.5" customHeight="1">
      <c r="A180" s="33" t="s">
        <v>204</v>
      </c>
      <c r="B180" s="41">
        <f>+B181</f>
        <v>15000000</v>
      </c>
      <c r="C180" s="27">
        <f t="shared" si="88"/>
        <v>15750000</v>
      </c>
      <c r="D180" s="27">
        <f t="shared" si="88"/>
        <v>16537500</v>
      </c>
      <c r="E180" s="27">
        <f t="shared" si="88"/>
        <v>17364375</v>
      </c>
      <c r="F180" s="27">
        <f t="shared" si="88"/>
        <v>18232594</v>
      </c>
      <c r="G180" s="27">
        <f t="shared" si="88"/>
        <v>19144224</v>
      </c>
      <c r="H180" s="27">
        <f t="shared" si="88"/>
        <v>20101435</v>
      </c>
      <c r="I180" s="27">
        <f t="shared" si="88"/>
        <v>21106507</v>
      </c>
      <c r="J180" s="27">
        <f t="shared" si="88"/>
        <v>22161832</v>
      </c>
      <c r="K180" s="27">
        <f t="shared" si="88"/>
        <v>23269924</v>
      </c>
    </row>
    <row r="181" spans="1:11" ht="27.75" customHeight="1">
      <c r="A181" s="33" t="s">
        <v>664</v>
      </c>
      <c r="B181" s="41">
        <v>15000000</v>
      </c>
      <c r="C181" s="27">
        <f aca="true" t="shared" si="89" ref="C181:K181">+ROUND(B181*(100+$B$8)%,0)</f>
        <v>15750000</v>
      </c>
      <c r="D181" s="27">
        <f t="shared" si="89"/>
        <v>16537500</v>
      </c>
      <c r="E181" s="27">
        <f t="shared" si="89"/>
        <v>17364375</v>
      </c>
      <c r="F181" s="27">
        <f t="shared" si="89"/>
        <v>18232594</v>
      </c>
      <c r="G181" s="27">
        <f t="shared" si="89"/>
        <v>19144224</v>
      </c>
      <c r="H181" s="27">
        <f t="shared" si="89"/>
        <v>20101435</v>
      </c>
      <c r="I181" s="27">
        <f t="shared" si="89"/>
        <v>21106507</v>
      </c>
      <c r="J181" s="27">
        <f t="shared" si="89"/>
        <v>22161832</v>
      </c>
      <c r="K181" s="27">
        <f t="shared" si="89"/>
        <v>23269924</v>
      </c>
    </row>
    <row r="182" spans="1:11" ht="27.75" customHeight="1">
      <c r="A182" s="33"/>
      <c r="B182" s="41"/>
      <c r="C182" s="27"/>
      <c r="D182" s="27"/>
      <c r="E182" s="27"/>
      <c r="F182" s="27"/>
      <c r="G182" s="27"/>
      <c r="H182" s="27"/>
      <c r="I182" s="27"/>
      <c r="J182" s="27"/>
      <c r="K182" s="27"/>
    </row>
    <row r="183" spans="1:11" ht="19.5" customHeight="1">
      <c r="A183" s="5" t="s">
        <v>63</v>
      </c>
      <c r="B183" s="38">
        <f>+B73</f>
        <v>3115178105.67</v>
      </c>
      <c r="C183" s="25">
        <f aca="true" t="shared" si="90" ref="C183:K183">+C73</f>
        <v>2723280713</v>
      </c>
      <c r="D183" s="25">
        <f t="shared" si="90"/>
        <v>2859444748</v>
      </c>
      <c r="E183" s="25">
        <f t="shared" si="90"/>
        <v>3002416985</v>
      </c>
      <c r="F183" s="25">
        <f t="shared" si="90"/>
        <v>3152537836</v>
      </c>
      <c r="G183" s="25">
        <f t="shared" si="90"/>
        <v>3310164729</v>
      </c>
      <c r="H183" s="25">
        <f t="shared" si="90"/>
        <v>3475672967</v>
      </c>
      <c r="I183" s="25">
        <f t="shared" si="90"/>
        <v>3649456616</v>
      </c>
      <c r="J183" s="25">
        <f t="shared" si="90"/>
        <v>3831929446</v>
      </c>
      <c r="K183" s="25">
        <f t="shared" si="90"/>
        <v>4023525918</v>
      </c>
    </row>
    <row r="184" spans="1:11" ht="31.5" customHeight="1">
      <c r="A184" s="5" t="s">
        <v>68</v>
      </c>
      <c r="B184" s="38">
        <f aca="true" t="shared" si="91" ref="B184:K184">+B67+B183</f>
        <v>11057978105.67</v>
      </c>
      <c r="C184" s="25">
        <f t="shared" si="91"/>
        <v>10433220713</v>
      </c>
      <c r="D184" s="25">
        <f t="shared" si="91"/>
        <v>10954881748</v>
      </c>
      <c r="E184" s="25">
        <f t="shared" si="91"/>
        <v>11502625837</v>
      </c>
      <c r="F184" s="25">
        <f t="shared" si="91"/>
        <v>12077757133</v>
      </c>
      <c r="G184" s="25">
        <f t="shared" si="91"/>
        <v>12681644994</v>
      </c>
      <c r="H184" s="25">
        <f t="shared" si="91"/>
        <v>13315727245</v>
      </c>
      <c r="I184" s="25">
        <f t="shared" si="91"/>
        <v>13981513612</v>
      </c>
      <c r="J184" s="25">
        <f t="shared" si="91"/>
        <v>14680589293</v>
      </c>
      <c r="K184" s="25">
        <f t="shared" si="91"/>
        <v>15414618756</v>
      </c>
    </row>
    <row r="185" spans="1:11" ht="31.5" customHeight="1">
      <c r="A185" s="97"/>
      <c r="B185" s="104"/>
      <c r="C185" s="35"/>
      <c r="D185" s="35"/>
      <c r="E185" s="35"/>
      <c r="F185" s="35"/>
      <c r="G185" s="35"/>
      <c r="H185" s="35"/>
      <c r="I185" s="35"/>
      <c r="J185" s="35"/>
      <c r="K185" s="35"/>
    </row>
    <row r="186" spans="1:11" ht="31.5" customHeight="1">
      <c r="A186" s="97"/>
      <c r="B186" s="104"/>
      <c r="C186" s="35"/>
      <c r="D186" s="35"/>
      <c r="E186" s="35"/>
      <c r="F186" s="35"/>
      <c r="G186" s="35"/>
      <c r="H186" s="35"/>
      <c r="I186" s="35"/>
      <c r="J186" s="35"/>
      <c r="K186" s="35"/>
    </row>
    <row r="187" spans="1:11" ht="31.5" customHeight="1">
      <c r="A187" s="97"/>
      <c r="B187" s="104"/>
      <c r="C187" s="35"/>
      <c r="D187" s="35"/>
      <c r="E187" s="35"/>
      <c r="F187" s="35"/>
      <c r="G187" s="35"/>
      <c r="H187" s="35"/>
      <c r="I187" s="35"/>
      <c r="J187" s="35"/>
      <c r="K187" s="35"/>
    </row>
    <row r="188" spans="1:11" ht="31.5" customHeight="1">
      <c r="A188" s="97"/>
      <c r="B188" s="104"/>
      <c r="C188" s="35"/>
      <c r="D188" s="35"/>
      <c r="E188" s="35"/>
      <c r="F188" s="35"/>
      <c r="G188" s="35"/>
      <c r="H188" s="35"/>
      <c r="I188" s="35"/>
      <c r="J188" s="35"/>
      <c r="K188" s="35"/>
    </row>
    <row r="189" spans="1:11" ht="31.5" customHeight="1">
      <c r="A189" s="97"/>
      <c r="B189" s="104"/>
      <c r="C189" s="35"/>
      <c r="D189" s="35"/>
      <c r="E189" s="35"/>
      <c r="F189" s="35"/>
      <c r="G189" s="35"/>
      <c r="H189" s="35"/>
      <c r="I189" s="35"/>
      <c r="J189" s="35"/>
      <c r="K189" s="35"/>
    </row>
    <row r="190" spans="1:11" ht="31.5" customHeight="1">
      <c r="A190" s="97"/>
      <c r="B190" s="104"/>
      <c r="C190" s="35"/>
      <c r="D190" s="35"/>
      <c r="E190" s="35"/>
      <c r="F190" s="35"/>
      <c r="G190" s="35"/>
      <c r="H190" s="35"/>
      <c r="I190" s="35"/>
      <c r="J190" s="35"/>
      <c r="K190" s="35"/>
    </row>
    <row r="191" spans="1:11" ht="31.5" customHeight="1">
      <c r="A191" s="97"/>
      <c r="B191" s="104"/>
      <c r="C191" s="35"/>
      <c r="D191" s="35"/>
      <c r="E191" s="35"/>
      <c r="F191" s="35"/>
      <c r="G191" s="35"/>
      <c r="H191" s="35"/>
      <c r="I191" s="35"/>
      <c r="J191" s="35"/>
      <c r="K191" s="35"/>
    </row>
    <row r="192" spans="1:11" ht="31.5" customHeight="1">
      <c r="A192" s="97"/>
      <c r="B192" s="104"/>
      <c r="C192" s="35"/>
      <c r="D192" s="35"/>
      <c r="E192" s="35"/>
      <c r="F192" s="35"/>
      <c r="G192" s="35"/>
      <c r="H192" s="35"/>
      <c r="I192" s="35"/>
      <c r="J192" s="35"/>
      <c r="K192" s="35"/>
    </row>
    <row r="193" spans="1:11" ht="19.5" customHeight="1">
      <c r="A193" s="378" t="s">
        <v>656</v>
      </c>
      <c r="B193" s="378"/>
      <c r="C193" s="378"/>
      <c r="D193" s="378"/>
      <c r="E193" s="378"/>
      <c r="F193" s="378"/>
      <c r="G193" s="378"/>
      <c r="H193" s="378"/>
      <c r="I193" s="378"/>
      <c r="J193" s="378"/>
      <c r="K193" s="378"/>
    </row>
    <row r="194" spans="1:2" ht="19.5" customHeight="1">
      <c r="A194" s="21"/>
      <c r="B194" s="15"/>
    </row>
    <row r="195" spans="1:11" ht="15" customHeight="1">
      <c r="A195" s="364" t="s">
        <v>163</v>
      </c>
      <c r="B195" s="321" t="s">
        <v>191</v>
      </c>
      <c r="C195" s="321" t="s">
        <v>192</v>
      </c>
      <c r="D195" s="321" t="s">
        <v>193</v>
      </c>
      <c r="E195" s="321" t="s">
        <v>194</v>
      </c>
      <c r="F195" s="321" t="s">
        <v>195</v>
      </c>
      <c r="G195" s="321" t="s">
        <v>196</v>
      </c>
      <c r="H195" s="321" t="s">
        <v>197</v>
      </c>
      <c r="I195" s="321" t="s">
        <v>198</v>
      </c>
      <c r="J195" s="369" t="s">
        <v>199</v>
      </c>
      <c r="K195" s="369" t="s">
        <v>655</v>
      </c>
    </row>
    <row r="196" spans="1:11" ht="7.5" customHeight="1">
      <c r="A196" s="365"/>
      <c r="B196" s="322"/>
      <c r="C196" s="322"/>
      <c r="D196" s="322"/>
      <c r="E196" s="322"/>
      <c r="F196" s="322"/>
      <c r="G196" s="322"/>
      <c r="H196" s="322"/>
      <c r="I196" s="322"/>
      <c r="J196" s="370"/>
      <c r="K196" s="370"/>
    </row>
    <row r="197" spans="1:11" ht="15" customHeight="1">
      <c r="A197" s="8" t="s">
        <v>164</v>
      </c>
      <c r="B197" s="31">
        <f>+B199+B204+B206</f>
        <v>2728243950.76</v>
      </c>
      <c r="C197" s="25">
        <f aca="true" t="shared" si="92" ref="C197:K197">+C199+C204+C206</f>
        <v>2855206148</v>
      </c>
      <c r="D197" s="25">
        <f t="shared" si="92"/>
        <v>2997966456</v>
      </c>
      <c r="E197" s="25">
        <f t="shared" si="92"/>
        <v>3147864779</v>
      </c>
      <c r="F197" s="25">
        <f t="shared" si="92"/>
        <v>3305258018</v>
      </c>
      <c r="G197" s="25">
        <f t="shared" si="92"/>
        <v>3470520918</v>
      </c>
      <c r="H197" s="25">
        <f t="shared" si="92"/>
        <v>3644046965</v>
      </c>
      <c r="I197" s="25">
        <f t="shared" si="92"/>
        <v>3826249313</v>
      </c>
      <c r="J197" s="25">
        <f t="shared" si="92"/>
        <v>4017561779</v>
      </c>
      <c r="K197" s="25">
        <f t="shared" si="92"/>
        <v>4218439867</v>
      </c>
    </row>
    <row r="198" spans="1:11" ht="15" customHeight="1">
      <c r="A198" s="3"/>
      <c r="B198" s="105"/>
      <c r="C198" s="27"/>
      <c r="D198" s="27"/>
      <c r="E198" s="27"/>
      <c r="F198" s="27"/>
      <c r="G198" s="27"/>
      <c r="H198" s="27"/>
      <c r="I198" s="27"/>
      <c r="J198" s="27"/>
      <c r="K198" s="27"/>
    </row>
    <row r="199" spans="1:11" ht="15" customHeight="1">
      <c r="A199" s="45" t="s">
        <v>183</v>
      </c>
      <c r="B199" s="31">
        <f>+B201+B202</f>
        <v>223940200</v>
      </c>
      <c r="C199" s="25">
        <f aca="true" t="shared" si="93" ref="C199:K199">+C201+C202</f>
        <v>225687210</v>
      </c>
      <c r="D199" s="25">
        <f t="shared" si="93"/>
        <v>236971571</v>
      </c>
      <c r="E199" s="25">
        <f t="shared" si="93"/>
        <v>248820149</v>
      </c>
      <c r="F199" s="25">
        <f t="shared" si="93"/>
        <v>261261157</v>
      </c>
      <c r="G199" s="25">
        <f t="shared" si="93"/>
        <v>274324214</v>
      </c>
      <c r="H199" s="25">
        <f t="shared" si="93"/>
        <v>288040425</v>
      </c>
      <c r="I199" s="25">
        <f t="shared" si="93"/>
        <v>302442446</v>
      </c>
      <c r="J199" s="25">
        <f t="shared" si="93"/>
        <v>317564569</v>
      </c>
      <c r="K199" s="25">
        <f t="shared" si="93"/>
        <v>333442797</v>
      </c>
    </row>
    <row r="200" spans="1:11" ht="12" customHeight="1">
      <c r="A200" s="46"/>
      <c r="B200" s="105"/>
      <c r="C200" s="47"/>
      <c r="D200" s="47"/>
      <c r="E200" s="27"/>
      <c r="F200" s="27"/>
      <c r="G200" s="27"/>
      <c r="H200" s="27"/>
      <c r="I200" s="27"/>
      <c r="J200" s="27"/>
      <c r="K200" s="27"/>
    </row>
    <row r="201" spans="1:11" ht="15" customHeight="1">
      <c r="A201" s="3" t="s">
        <v>69</v>
      </c>
      <c r="B201" s="99">
        <f>ROUND(1.5%*B60,0)</f>
        <v>118767000</v>
      </c>
      <c r="C201" s="27">
        <f aca="true" t="shared" si="94" ref="C201:K201">ROUND(1.5%*C60,0)</f>
        <v>115255350</v>
      </c>
      <c r="D201" s="27">
        <f t="shared" si="94"/>
        <v>121018118</v>
      </c>
      <c r="E201" s="27">
        <f t="shared" si="94"/>
        <v>127069023</v>
      </c>
      <c r="F201" s="27">
        <f t="shared" si="94"/>
        <v>133422475</v>
      </c>
      <c r="G201" s="27">
        <f t="shared" si="94"/>
        <v>140093598</v>
      </c>
      <c r="H201" s="27">
        <f t="shared" si="94"/>
        <v>147098278</v>
      </c>
      <c r="I201" s="27">
        <f t="shared" si="94"/>
        <v>154453192</v>
      </c>
      <c r="J201" s="27">
        <f t="shared" si="94"/>
        <v>162175852</v>
      </c>
      <c r="K201" s="27">
        <f t="shared" si="94"/>
        <v>170284644</v>
      </c>
    </row>
    <row r="202" spans="1:11" ht="15" customHeight="1">
      <c r="A202" s="3" t="s">
        <v>70</v>
      </c>
      <c r="B202" s="99">
        <f>+ROUND((3300000*106%)/30*82*11,0)</f>
        <v>105173200</v>
      </c>
      <c r="C202" s="27">
        <f aca="true" t="shared" si="95" ref="C202:K204">+ROUND(B202*(100+$B$8)%,0)</f>
        <v>110431860</v>
      </c>
      <c r="D202" s="27">
        <f t="shared" si="95"/>
        <v>115953453</v>
      </c>
      <c r="E202" s="27">
        <f t="shared" si="95"/>
        <v>121751126</v>
      </c>
      <c r="F202" s="27">
        <f t="shared" si="95"/>
        <v>127838682</v>
      </c>
      <c r="G202" s="27">
        <f t="shared" si="95"/>
        <v>134230616</v>
      </c>
      <c r="H202" s="27">
        <f t="shared" si="95"/>
        <v>140942147</v>
      </c>
      <c r="I202" s="27">
        <f t="shared" si="95"/>
        <v>147989254</v>
      </c>
      <c r="J202" s="27">
        <f t="shared" si="95"/>
        <v>155388717</v>
      </c>
      <c r="K202" s="27">
        <f t="shared" si="95"/>
        <v>163158153</v>
      </c>
    </row>
    <row r="203" spans="1:11" ht="12" customHeight="1">
      <c r="A203" s="3"/>
      <c r="B203" s="99"/>
      <c r="C203" s="48"/>
      <c r="D203" s="48"/>
      <c r="E203" s="27"/>
      <c r="F203" s="27"/>
      <c r="G203" s="27"/>
      <c r="H203" s="27"/>
      <c r="I203" s="27"/>
      <c r="J203" s="27"/>
      <c r="K203" s="27"/>
    </row>
    <row r="204" spans="1:11" ht="15" customHeight="1">
      <c r="A204" s="8" t="s">
        <v>184</v>
      </c>
      <c r="B204" s="31">
        <f>ROUND(496000*1.05*180,0)</f>
        <v>93744000</v>
      </c>
      <c r="C204" s="25">
        <f t="shared" si="95"/>
        <v>98431200</v>
      </c>
      <c r="D204" s="25">
        <f t="shared" si="95"/>
        <v>103352760</v>
      </c>
      <c r="E204" s="25">
        <f t="shared" si="95"/>
        <v>108520398</v>
      </c>
      <c r="F204" s="25">
        <f t="shared" si="95"/>
        <v>113946418</v>
      </c>
      <c r="G204" s="25">
        <f t="shared" si="95"/>
        <v>119643739</v>
      </c>
      <c r="H204" s="25">
        <f t="shared" si="95"/>
        <v>125625926</v>
      </c>
      <c r="I204" s="25">
        <f t="shared" si="95"/>
        <v>131907222</v>
      </c>
      <c r="J204" s="25">
        <f t="shared" si="95"/>
        <v>138502583</v>
      </c>
      <c r="K204" s="25">
        <f t="shared" si="95"/>
        <v>145427712</v>
      </c>
    </row>
    <row r="205" spans="1:11" ht="9.75" customHeight="1">
      <c r="A205" s="3"/>
      <c r="B205" s="99"/>
      <c r="C205" s="48"/>
      <c r="D205" s="48"/>
      <c r="E205" s="27"/>
      <c r="F205" s="27"/>
      <c r="G205" s="27"/>
      <c r="H205" s="27"/>
      <c r="I205" s="27"/>
      <c r="J205" s="27"/>
      <c r="K205" s="27"/>
    </row>
    <row r="206" spans="1:11" ht="15" customHeight="1">
      <c r="A206" s="8" t="s">
        <v>185</v>
      </c>
      <c r="B206" s="31">
        <f aca="true" t="shared" si="96" ref="B206:K206">+SUM(B208:B210)</f>
        <v>2410559750.76</v>
      </c>
      <c r="C206" s="25">
        <f t="shared" si="96"/>
        <v>2531087738</v>
      </c>
      <c r="D206" s="25">
        <f t="shared" si="96"/>
        <v>2657642125</v>
      </c>
      <c r="E206" s="25">
        <f t="shared" si="96"/>
        <v>2790524232</v>
      </c>
      <c r="F206" s="25">
        <f t="shared" si="96"/>
        <v>2930050443</v>
      </c>
      <c r="G206" s="25">
        <f t="shared" si="96"/>
        <v>3076552965</v>
      </c>
      <c r="H206" s="25">
        <f t="shared" si="96"/>
        <v>3230380614</v>
      </c>
      <c r="I206" s="25">
        <f t="shared" si="96"/>
        <v>3391899645</v>
      </c>
      <c r="J206" s="25">
        <f t="shared" si="96"/>
        <v>3561494627</v>
      </c>
      <c r="K206" s="25">
        <f t="shared" si="96"/>
        <v>3739569358</v>
      </c>
    </row>
    <row r="207" spans="1:11" ht="13.5" customHeight="1">
      <c r="A207" s="3"/>
      <c r="B207" s="31"/>
      <c r="C207" s="31"/>
      <c r="D207" s="48"/>
      <c r="E207" s="27"/>
      <c r="F207" s="27"/>
      <c r="G207" s="27"/>
      <c r="H207" s="27"/>
      <c r="I207" s="27"/>
      <c r="J207" s="27"/>
      <c r="K207" s="27"/>
    </row>
    <row r="208" spans="1:11" ht="15" customHeight="1">
      <c r="A208" s="3" t="s">
        <v>165</v>
      </c>
      <c r="B208" s="99">
        <f>+'FUNCIONAMIENTO TOTAL'!D6</f>
        <v>1731337750.76</v>
      </c>
      <c r="C208" s="27">
        <f aca="true" t="shared" si="97" ref="C208:K208">+ROUND(B208*(100+$B$8)%,0)</f>
        <v>1817904638</v>
      </c>
      <c r="D208" s="27">
        <f t="shared" si="97"/>
        <v>1908799870</v>
      </c>
      <c r="E208" s="27">
        <f t="shared" si="97"/>
        <v>2004239864</v>
      </c>
      <c r="F208" s="27">
        <f t="shared" si="97"/>
        <v>2104451857</v>
      </c>
      <c r="G208" s="27">
        <f t="shared" si="97"/>
        <v>2209674450</v>
      </c>
      <c r="H208" s="27">
        <f t="shared" si="97"/>
        <v>2320158173</v>
      </c>
      <c r="I208" s="27">
        <f t="shared" si="97"/>
        <v>2436166082</v>
      </c>
      <c r="J208" s="27">
        <f t="shared" si="97"/>
        <v>2557974386</v>
      </c>
      <c r="K208" s="27">
        <f t="shared" si="97"/>
        <v>2685873105</v>
      </c>
    </row>
    <row r="209" spans="1:11" ht="15" customHeight="1">
      <c r="A209" s="3" t="s">
        <v>166</v>
      </c>
      <c r="B209" s="99">
        <f>+'GASTOS GENERALES'!D37</f>
        <v>679222000</v>
      </c>
      <c r="C209" s="27">
        <f aca="true" t="shared" si="98" ref="C209:K209">+ROUND(B209*(100+$B$8)%,0)</f>
        <v>713183100</v>
      </c>
      <c r="D209" s="27">
        <f t="shared" si="98"/>
        <v>748842255</v>
      </c>
      <c r="E209" s="27">
        <f t="shared" si="98"/>
        <v>786284368</v>
      </c>
      <c r="F209" s="27">
        <f t="shared" si="98"/>
        <v>825598586</v>
      </c>
      <c r="G209" s="27">
        <f t="shared" si="98"/>
        <v>866878515</v>
      </c>
      <c r="H209" s="27">
        <f t="shared" si="98"/>
        <v>910222441</v>
      </c>
      <c r="I209" s="27">
        <f t="shared" si="98"/>
        <v>955733563</v>
      </c>
      <c r="J209" s="27">
        <f t="shared" si="98"/>
        <v>1003520241</v>
      </c>
      <c r="K209" s="27">
        <f t="shared" si="98"/>
        <v>1053696253</v>
      </c>
    </row>
    <row r="210" spans="1:11" ht="15" customHeight="1">
      <c r="A210" s="3" t="s">
        <v>167</v>
      </c>
      <c r="B210" s="99">
        <f>+'FUNCIONAMIENTO TOTAL'!C67</f>
        <v>0</v>
      </c>
      <c r="C210" s="27">
        <f aca="true" t="shared" si="99" ref="C210:K210">+ROUND(B210*(100+$B$8)%,0)</f>
        <v>0</v>
      </c>
      <c r="D210" s="27">
        <f t="shared" si="99"/>
        <v>0</v>
      </c>
      <c r="E210" s="27">
        <f t="shared" si="99"/>
        <v>0</v>
      </c>
      <c r="F210" s="27">
        <f t="shared" si="99"/>
        <v>0</v>
      </c>
      <c r="G210" s="27">
        <f t="shared" si="99"/>
        <v>0</v>
      </c>
      <c r="H210" s="27">
        <f t="shared" si="99"/>
        <v>0</v>
      </c>
      <c r="I210" s="27">
        <f t="shared" si="99"/>
        <v>0</v>
      </c>
      <c r="J210" s="27">
        <f t="shared" si="99"/>
        <v>0</v>
      </c>
      <c r="K210" s="27">
        <f t="shared" si="99"/>
        <v>0</v>
      </c>
    </row>
    <row r="211" spans="1:11" ht="15" customHeight="1">
      <c r="A211" s="3"/>
      <c r="B211" s="99"/>
      <c r="C211" s="48"/>
      <c r="D211" s="48"/>
      <c r="E211" s="27"/>
      <c r="F211" s="27"/>
      <c r="G211" s="27"/>
      <c r="H211" s="27"/>
      <c r="I211" s="27"/>
      <c r="J211" s="27"/>
      <c r="K211" s="27"/>
    </row>
    <row r="212" spans="1:11" ht="15" customHeight="1">
      <c r="A212" s="8" t="s">
        <v>182</v>
      </c>
      <c r="B212" s="31">
        <f>+B214+B215</f>
        <v>0</v>
      </c>
      <c r="C212" s="25">
        <f aca="true" t="shared" si="100" ref="C212:K212">+C214+C215</f>
        <v>0</v>
      </c>
      <c r="D212" s="25">
        <f t="shared" si="100"/>
        <v>0</v>
      </c>
      <c r="E212" s="25">
        <f t="shared" si="100"/>
        <v>0</v>
      </c>
      <c r="F212" s="25">
        <f t="shared" si="100"/>
        <v>0</v>
      </c>
      <c r="G212" s="25">
        <f t="shared" si="100"/>
        <v>0</v>
      </c>
      <c r="H212" s="25">
        <f t="shared" si="100"/>
        <v>0</v>
      </c>
      <c r="I212" s="25">
        <f t="shared" si="100"/>
        <v>0</v>
      </c>
      <c r="J212" s="25">
        <f t="shared" si="100"/>
        <v>0</v>
      </c>
      <c r="K212" s="25">
        <f t="shared" si="100"/>
        <v>0</v>
      </c>
    </row>
    <row r="213" spans="1:11" ht="11.25" customHeight="1">
      <c r="A213" s="3"/>
      <c r="B213" s="99"/>
      <c r="C213" s="48"/>
      <c r="D213" s="48"/>
      <c r="E213" s="27"/>
      <c r="F213" s="27"/>
      <c r="G213" s="27"/>
      <c r="H213" s="27"/>
      <c r="I213" s="27"/>
      <c r="J213" s="27"/>
      <c r="K213" s="27"/>
    </row>
    <row r="214" spans="1:11" ht="15" customHeight="1">
      <c r="A214" s="3" t="s">
        <v>168</v>
      </c>
      <c r="B214" s="99">
        <v>0</v>
      </c>
      <c r="C214" s="27">
        <v>0</v>
      </c>
      <c r="D214" s="27">
        <v>0</v>
      </c>
      <c r="E214" s="27">
        <v>0</v>
      </c>
      <c r="F214" s="27">
        <v>0</v>
      </c>
      <c r="G214" s="27">
        <v>0</v>
      </c>
      <c r="H214" s="27">
        <v>0</v>
      </c>
      <c r="I214" s="27">
        <v>0</v>
      </c>
      <c r="J214" s="27">
        <v>0</v>
      </c>
      <c r="K214" s="27">
        <v>0</v>
      </c>
    </row>
    <row r="215" spans="1:11" ht="15" customHeight="1">
      <c r="A215" s="3" t="s">
        <v>169</v>
      </c>
      <c r="B215" s="99">
        <v>0</v>
      </c>
      <c r="C215" s="27">
        <v>0</v>
      </c>
      <c r="D215" s="27">
        <v>0</v>
      </c>
      <c r="E215" s="27">
        <v>0</v>
      </c>
      <c r="F215" s="27">
        <v>0</v>
      </c>
      <c r="G215" s="27">
        <v>0</v>
      </c>
      <c r="H215" s="27">
        <v>0</v>
      </c>
      <c r="I215" s="27">
        <v>0</v>
      </c>
      <c r="J215" s="27">
        <v>0</v>
      </c>
      <c r="K215" s="27">
        <v>0</v>
      </c>
    </row>
    <row r="216" spans="1:11" ht="15" customHeight="1">
      <c r="A216" s="3"/>
      <c r="B216" s="99"/>
      <c r="C216" s="48"/>
      <c r="D216" s="48"/>
      <c r="E216" s="27"/>
      <c r="F216" s="27"/>
      <c r="G216" s="27"/>
      <c r="H216" s="27"/>
      <c r="I216" s="27"/>
      <c r="J216" s="27"/>
      <c r="K216" s="27"/>
    </row>
    <row r="217" spans="1:11" ht="15" customHeight="1">
      <c r="A217" s="8" t="s">
        <v>186</v>
      </c>
      <c r="B217" s="31">
        <f aca="true" t="shared" si="101" ref="B217:K217">+B219+B244+B261+B266</f>
        <v>8329734154.91</v>
      </c>
      <c r="C217" s="25">
        <f t="shared" si="101"/>
        <v>7620014565</v>
      </c>
      <c r="D217" s="25">
        <f t="shared" si="101"/>
        <v>8001015292</v>
      </c>
      <c r="E217" s="25">
        <f t="shared" si="101"/>
        <v>8401066058</v>
      </c>
      <c r="F217" s="25">
        <f t="shared" si="101"/>
        <v>8821119366</v>
      </c>
      <c r="G217" s="25">
        <f t="shared" si="101"/>
        <v>9262175339</v>
      </c>
      <c r="H217" s="25">
        <f t="shared" si="101"/>
        <v>9725284106</v>
      </c>
      <c r="I217" s="25">
        <f t="shared" si="101"/>
        <v>10211548316</v>
      </c>
      <c r="J217" s="25">
        <f t="shared" si="101"/>
        <v>10722125732</v>
      </c>
      <c r="K217" s="25">
        <f t="shared" si="101"/>
        <v>11258232018</v>
      </c>
    </row>
    <row r="218" spans="1:11" ht="15" customHeight="1">
      <c r="A218" s="3"/>
      <c r="B218" s="99"/>
      <c r="C218" s="48"/>
      <c r="D218" s="48"/>
      <c r="E218" s="27"/>
      <c r="F218" s="27"/>
      <c r="G218" s="27"/>
      <c r="H218" s="27"/>
      <c r="I218" s="27"/>
      <c r="J218" s="27"/>
      <c r="K218" s="27"/>
    </row>
    <row r="219" spans="1:11" ht="15" customHeight="1">
      <c r="A219" s="49" t="s">
        <v>187</v>
      </c>
      <c r="B219" s="31">
        <f>+B221+B230+B232</f>
        <v>5440556049.24</v>
      </c>
      <c r="C219" s="25">
        <f aca="true" t="shared" si="102" ref="C219:K219">+C221+C230+C232</f>
        <v>5092033852</v>
      </c>
      <c r="D219" s="25">
        <f t="shared" si="102"/>
        <v>5346635544</v>
      </c>
      <c r="E219" s="25">
        <f t="shared" si="102"/>
        <v>5613967323</v>
      </c>
      <c r="F219" s="25">
        <f t="shared" si="102"/>
        <v>5894665692</v>
      </c>
      <c r="G219" s="25">
        <f t="shared" si="102"/>
        <v>6189398981</v>
      </c>
      <c r="H219" s="25">
        <f t="shared" si="102"/>
        <v>6498868929</v>
      </c>
      <c r="I219" s="25">
        <f t="shared" si="102"/>
        <v>6823812380</v>
      </c>
      <c r="J219" s="25">
        <f t="shared" si="102"/>
        <v>7165003000</v>
      </c>
      <c r="K219" s="25">
        <f t="shared" si="102"/>
        <v>7523253150</v>
      </c>
    </row>
    <row r="220" spans="1:11" ht="15" customHeight="1">
      <c r="A220" s="49"/>
      <c r="B220" s="31"/>
      <c r="C220" s="50"/>
      <c r="D220" s="50"/>
      <c r="E220" s="27"/>
      <c r="F220" s="27"/>
      <c r="G220" s="27"/>
      <c r="H220" s="27"/>
      <c r="I220" s="27"/>
      <c r="J220" s="27"/>
      <c r="K220" s="27"/>
    </row>
    <row r="221" spans="1:11" ht="15" customHeight="1">
      <c r="A221" s="49" t="s">
        <v>179</v>
      </c>
      <c r="B221" s="31">
        <f>+SUM(B223:B228)</f>
        <v>554246000</v>
      </c>
      <c r="C221" s="25">
        <f aca="true" t="shared" si="103" ref="C221:K221">+SUM(C223:C228)</f>
        <v>537858300</v>
      </c>
      <c r="D221" s="25">
        <f t="shared" si="103"/>
        <v>564751215</v>
      </c>
      <c r="E221" s="25">
        <f t="shared" si="103"/>
        <v>592988775</v>
      </c>
      <c r="F221" s="25">
        <f t="shared" si="103"/>
        <v>622638214</v>
      </c>
      <c r="G221" s="25">
        <f t="shared" si="103"/>
        <v>653770125</v>
      </c>
      <c r="H221" s="25">
        <f t="shared" si="103"/>
        <v>686458632</v>
      </c>
      <c r="I221" s="25">
        <f t="shared" si="103"/>
        <v>720781564</v>
      </c>
      <c r="J221" s="25">
        <f t="shared" si="103"/>
        <v>756820643</v>
      </c>
      <c r="K221" s="25">
        <f t="shared" si="103"/>
        <v>794661674</v>
      </c>
    </row>
    <row r="222" spans="1:11" ht="12.75" customHeight="1">
      <c r="A222" s="3"/>
      <c r="B222" s="99"/>
      <c r="C222" s="48"/>
      <c r="D222" s="48"/>
      <c r="E222" s="27"/>
      <c r="F222" s="27"/>
      <c r="G222" s="27"/>
      <c r="H222" s="27"/>
      <c r="I222" s="27"/>
      <c r="J222" s="27"/>
      <c r="K222" s="27"/>
    </row>
    <row r="223" spans="1:11" ht="15" customHeight="1">
      <c r="A223" s="3" t="s">
        <v>660</v>
      </c>
      <c r="B223" s="99">
        <f>+ROUND(B60*1%,0)</f>
        <v>79178000</v>
      </c>
      <c r="C223" s="27">
        <f aca="true" t="shared" si="104" ref="C223:K223">+ROUND(C60*1%,0)</f>
        <v>76836900</v>
      </c>
      <c r="D223" s="27">
        <f t="shared" si="104"/>
        <v>80678745</v>
      </c>
      <c r="E223" s="27">
        <f t="shared" si="104"/>
        <v>84712682</v>
      </c>
      <c r="F223" s="27">
        <f t="shared" si="104"/>
        <v>88948316</v>
      </c>
      <c r="G223" s="27">
        <f t="shared" si="104"/>
        <v>93395732</v>
      </c>
      <c r="H223" s="27">
        <f t="shared" si="104"/>
        <v>98065519</v>
      </c>
      <c r="I223" s="27">
        <f t="shared" si="104"/>
        <v>102968795</v>
      </c>
      <c r="J223" s="27">
        <f t="shared" si="104"/>
        <v>108117235</v>
      </c>
      <c r="K223" s="27">
        <f t="shared" si="104"/>
        <v>113523096</v>
      </c>
    </row>
    <row r="224" spans="1:11" ht="15" customHeight="1">
      <c r="A224" s="3" t="s">
        <v>661</v>
      </c>
      <c r="B224" s="99">
        <f>+ROUND(B60*1%,0)</f>
        <v>79178000</v>
      </c>
      <c r="C224" s="27">
        <f aca="true" t="shared" si="105" ref="C224:K224">+ROUND(C60*1%,0)</f>
        <v>76836900</v>
      </c>
      <c r="D224" s="27">
        <f t="shared" si="105"/>
        <v>80678745</v>
      </c>
      <c r="E224" s="27">
        <f t="shared" si="105"/>
        <v>84712682</v>
      </c>
      <c r="F224" s="27">
        <f t="shared" si="105"/>
        <v>88948316</v>
      </c>
      <c r="G224" s="27">
        <f t="shared" si="105"/>
        <v>93395732</v>
      </c>
      <c r="H224" s="27">
        <f t="shared" si="105"/>
        <v>98065519</v>
      </c>
      <c r="I224" s="27">
        <f t="shared" si="105"/>
        <v>102968795</v>
      </c>
      <c r="J224" s="27">
        <f t="shared" si="105"/>
        <v>108117235</v>
      </c>
      <c r="K224" s="27">
        <f t="shared" si="105"/>
        <v>113523096</v>
      </c>
    </row>
    <row r="225" spans="1:11" ht="15" customHeight="1">
      <c r="A225" s="3" t="s">
        <v>662</v>
      </c>
      <c r="B225" s="99">
        <f>+ROUND(5%*B60,0)</f>
        <v>395890000</v>
      </c>
      <c r="C225" s="27">
        <f aca="true" t="shared" si="106" ref="C225:K225">+ROUND(5%*C60,0)</f>
        <v>384184500</v>
      </c>
      <c r="D225" s="27">
        <f t="shared" si="106"/>
        <v>403393725</v>
      </c>
      <c r="E225" s="27">
        <f t="shared" si="106"/>
        <v>423563411</v>
      </c>
      <c r="F225" s="27">
        <f t="shared" si="106"/>
        <v>444741582</v>
      </c>
      <c r="G225" s="27">
        <f t="shared" si="106"/>
        <v>466978661</v>
      </c>
      <c r="H225" s="27">
        <f t="shared" si="106"/>
        <v>490327594</v>
      </c>
      <c r="I225" s="27">
        <f t="shared" si="106"/>
        <v>514843974</v>
      </c>
      <c r="J225" s="27">
        <f t="shared" si="106"/>
        <v>540586173</v>
      </c>
      <c r="K225" s="27">
        <f t="shared" si="106"/>
        <v>567615482</v>
      </c>
    </row>
    <row r="226" spans="1:11" ht="15" customHeight="1" hidden="1">
      <c r="A226" s="366" t="s">
        <v>230</v>
      </c>
      <c r="B226" s="379">
        <v>0</v>
      </c>
      <c r="C226" s="381">
        <v>0</v>
      </c>
      <c r="D226" s="381">
        <v>0</v>
      </c>
      <c r="E226" s="371"/>
      <c r="F226" s="371"/>
      <c r="G226" s="371"/>
      <c r="H226" s="371"/>
      <c r="I226" s="371"/>
      <c r="J226" s="371"/>
      <c r="K226" s="371"/>
    </row>
    <row r="227" spans="1:11" ht="11.25" customHeight="1" hidden="1">
      <c r="A227" s="367"/>
      <c r="B227" s="380"/>
      <c r="C227" s="382"/>
      <c r="D227" s="382"/>
      <c r="E227" s="372"/>
      <c r="F227" s="372"/>
      <c r="G227" s="372"/>
      <c r="H227" s="372"/>
      <c r="I227" s="372"/>
      <c r="J227" s="372"/>
      <c r="K227" s="372"/>
    </row>
    <row r="228" spans="1:11" ht="15" customHeight="1" hidden="1">
      <c r="A228" s="3" t="s">
        <v>170</v>
      </c>
      <c r="B228" s="99">
        <v>0</v>
      </c>
      <c r="C228" s="27">
        <f aca="true" t="shared" si="107" ref="C228:K228">+ROUND(B228*(100+$B$8)%,0)</f>
        <v>0</v>
      </c>
      <c r="D228" s="27">
        <f t="shared" si="107"/>
        <v>0</v>
      </c>
      <c r="E228" s="27">
        <f t="shared" si="107"/>
        <v>0</v>
      </c>
      <c r="F228" s="27">
        <f t="shared" si="107"/>
        <v>0</v>
      </c>
      <c r="G228" s="27">
        <f t="shared" si="107"/>
        <v>0</v>
      </c>
      <c r="H228" s="27">
        <f t="shared" si="107"/>
        <v>0</v>
      </c>
      <c r="I228" s="27">
        <f t="shared" si="107"/>
        <v>0</v>
      </c>
      <c r="J228" s="27">
        <f t="shared" si="107"/>
        <v>0</v>
      </c>
      <c r="K228" s="27">
        <f t="shared" si="107"/>
        <v>0</v>
      </c>
    </row>
    <row r="229" spans="1:11" ht="12" customHeight="1">
      <c r="A229" s="3"/>
      <c r="B229" s="99"/>
      <c r="C229" s="358"/>
      <c r="D229" s="358"/>
      <c r="E229" s="27"/>
      <c r="F229" s="27"/>
      <c r="G229" s="27"/>
      <c r="H229" s="27"/>
      <c r="I229" s="27"/>
      <c r="J229" s="27"/>
      <c r="K229" s="27"/>
    </row>
    <row r="230" spans="1:11" ht="15" customHeight="1">
      <c r="A230" s="8" t="s">
        <v>181</v>
      </c>
      <c r="B230" s="31">
        <f aca="true" t="shared" si="108" ref="B230:K230">B60+B62-(B197+B212+B221)</f>
        <v>4660310049.24</v>
      </c>
      <c r="C230" s="25">
        <f t="shared" si="108"/>
        <v>4316875552</v>
      </c>
      <c r="D230" s="25">
        <f t="shared" si="108"/>
        <v>4532719329</v>
      </c>
      <c r="E230" s="25">
        <f t="shared" si="108"/>
        <v>4759355298</v>
      </c>
      <c r="F230" s="25">
        <f t="shared" si="108"/>
        <v>4997323065</v>
      </c>
      <c r="G230" s="25">
        <f t="shared" si="108"/>
        <v>5247189222</v>
      </c>
      <c r="H230" s="25">
        <f t="shared" si="108"/>
        <v>5509548681</v>
      </c>
      <c r="I230" s="25">
        <f t="shared" si="108"/>
        <v>5785026119</v>
      </c>
      <c r="J230" s="25">
        <f t="shared" si="108"/>
        <v>6074277425</v>
      </c>
      <c r="K230" s="25">
        <f t="shared" si="108"/>
        <v>6377991297</v>
      </c>
    </row>
    <row r="231" spans="1:11" ht="12" customHeight="1">
      <c r="A231" s="3"/>
      <c r="B231" s="85"/>
      <c r="C231" s="359"/>
      <c r="D231" s="359"/>
      <c r="E231" s="58"/>
      <c r="F231" s="58"/>
      <c r="G231" s="58"/>
      <c r="H231" s="58"/>
      <c r="I231" s="58"/>
      <c r="J231" s="58"/>
      <c r="K231" s="58"/>
    </row>
    <row r="232" spans="1:11" ht="15" customHeight="1">
      <c r="A232" s="368" t="s">
        <v>180</v>
      </c>
      <c r="B232" s="106">
        <f>+SUM(B234:B236)</f>
        <v>226000000</v>
      </c>
      <c r="C232" s="57">
        <f aca="true" t="shared" si="109" ref="C232:K232">+SUM(C234:C236)</f>
        <v>237300000</v>
      </c>
      <c r="D232" s="57">
        <f t="shared" si="109"/>
        <v>249165000</v>
      </c>
      <c r="E232" s="57">
        <f t="shared" si="109"/>
        <v>261623250</v>
      </c>
      <c r="F232" s="57">
        <f t="shared" si="109"/>
        <v>274704413</v>
      </c>
      <c r="G232" s="57">
        <f t="shared" si="109"/>
        <v>288439634</v>
      </c>
      <c r="H232" s="57">
        <f t="shared" si="109"/>
        <v>302861616</v>
      </c>
      <c r="I232" s="57">
        <f t="shared" si="109"/>
        <v>318004697</v>
      </c>
      <c r="J232" s="57">
        <f t="shared" si="109"/>
        <v>333904932</v>
      </c>
      <c r="K232" s="57">
        <f t="shared" si="109"/>
        <v>350600179</v>
      </c>
    </row>
    <row r="233" spans="1:11" ht="15" customHeight="1">
      <c r="A233" s="368"/>
      <c r="B233" s="107"/>
      <c r="C233" s="360"/>
      <c r="D233" s="360"/>
      <c r="E233" s="59"/>
      <c r="F233" s="59"/>
      <c r="G233" s="59"/>
      <c r="H233" s="59"/>
      <c r="I233" s="59"/>
      <c r="J233" s="59"/>
      <c r="K233" s="59"/>
    </row>
    <row r="234" spans="1:11" ht="15" customHeight="1">
      <c r="A234" s="3" t="s">
        <v>171</v>
      </c>
      <c r="B234" s="107">
        <f>+B77</f>
        <v>150000000</v>
      </c>
      <c r="C234" s="59">
        <f aca="true" t="shared" si="110" ref="C234:K234">+C77</f>
        <v>157500000</v>
      </c>
      <c r="D234" s="59">
        <f t="shared" si="110"/>
        <v>165375000</v>
      </c>
      <c r="E234" s="59">
        <f t="shared" si="110"/>
        <v>173643750</v>
      </c>
      <c r="F234" s="59">
        <f t="shared" si="110"/>
        <v>182325938</v>
      </c>
      <c r="G234" s="59">
        <f t="shared" si="110"/>
        <v>191442235</v>
      </c>
      <c r="H234" s="59">
        <f t="shared" si="110"/>
        <v>201014347</v>
      </c>
      <c r="I234" s="59">
        <f t="shared" si="110"/>
        <v>211065064</v>
      </c>
      <c r="J234" s="59">
        <f t="shared" si="110"/>
        <v>221618317</v>
      </c>
      <c r="K234" s="59">
        <f t="shared" si="110"/>
        <v>232699233</v>
      </c>
    </row>
    <row r="235" spans="1:11" ht="15" customHeight="1">
      <c r="A235" s="3" t="s">
        <v>172</v>
      </c>
      <c r="B235" s="99">
        <f>+B81</f>
        <v>52000000</v>
      </c>
      <c r="C235" s="27">
        <f aca="true" t="shared" si="111" ref="C235:K235">+C81</f>
        <v>54600000</v>
      </c>
      <c r="D235" s="27">
        <f t="shared" si="111"/>
        <v>57330000</v>
      </c>
      <c r="E235" s="27">
        <f t="shared" si="111"/>
        <v>60196500</v>
      </c>
      <c r="F235" s="27">
        <f t="shared" si="111"/>
        <v>63206325</v>
      </c>
      <c r="G235" s="27">
        <f t="shared" si="111"/>
        <v>66366641</v>
      </c>
      <c r="H235" s="27">
        <f t="shared" si="111"/>
        <v>69684973</v>
      </c>
      <c r="I235" s="27">
        <f t="shared" si="111"/>
        <v>73169222</v>
      </c>
      <c r="J235" s="27">
        <f t="shared" si="111"/>
        <v>76827683</v>
      </c>
      <c r="K235" s="27">
        <f t="shared" si="111"/>
        <v>80669067</v>
      </c>
    </row>
    <row r="236" spans="1:11" ht="15" customHeight="1">
      <c r="A236" s="50" t="s">
        <v>173</v>
      </c>
      <c r="B236" s="99">
        <f>+B82</f>
        <v>24000000</v>
      </c>
      <c r="C236" s="27">
        <f aca="true" t="shared" si="112" ref="C236:K236">+C82</f>
        <v>25200000</v>
      </c>
      <c r="D236" s="27">
        <f t="shared" si="112"/>
        <v>26460000</v>
      </c>
      <c r="E236" s="27">
        <f t="shared" si="112"/>
        <v>27783000</v>
      </c>
      <c r="F236" s="27">
        <f t="shared" si="112"/>
        <v>29172150</v>
      </c>
      <c r="G236" s="27">
        <f t="shared" si="112"/>
        <v>30630758</v>
      </c>
      <c r="H236" s="27">
        <f t="shared" si="112"/>
        <v>32162296</v>
      </c>
      <c r="I236" s="27">
        <f t="shared" si="112"/>
        <v>33770411</v>
      </c>
      <c r="J236" s="27">
        <f t="shared" si="112"/>
        <v>35458932</v>
      </c>
      <c r="K236" s="27">
        <f t="shared" si="112"/>
        <v>37231879</v>
      </c>
    </row>
    <row r="237" spans="1:11" ht="15" customHeight="1">
      <c r="A237" s="18"/>
      <c r="B237" s="101"/>
      <c r="C237" s="17"/>
      <c r="D237" s="17"/>
      <c r="E237" s="17"/>
      <c r="F237" s="17"/>
      <c r="G237" s="17"/>
      <c r="H237" s="17"/>
      <c r="I237" s="17"/>
      <c r="J237" s="17"/>
      <c r="K237" s="17"/>
    </row>
    <row r="238" spans="1:11" ht="15" customHeight="1">
      <c r="A238" s="18"/>
      <c r="B238" s="101"/>
      <c r="C238" s="17"/>
      <c r="D238" s="17"/>
      <c r="E238" s="17"/>
      <c r="F238" s="17"/>
      <c r="G238" s="17"/>
      <c r="H238" s="17"/>
      <c r="I238" s="17"/>
      <c r="J238" s="17"/>
      <c r="K238" s="17"/>
    </row>
    <row r="239" spans="1:11" ht="15" customHeight="1">
      <c r="A239" s="18"/>
      <c r="B239" s="101"/>
      <c r="C239" s="17"/>
      <c r="D239" s="17"/>
      <c r="E239" s="17"/>
      <c r="F239" s="17"/>
      <c r="G239" s="17"/>
      <c r="H239" s="17"/>
      <c r="I239" s="17"/>
      <c r="J239" s="17"/>
      <c r="K239" s="17"/>
    </row>
    <row r="240" spans="1:11" ht="15" customHeight="1">
      <c r="A240" s="18"/>
      <c r="B240" s="101"/>
      <c r="C240" s="17"/>
      <c r="D240" s="17"/>
      <c r="E240" s="17"/>
      <c r="F240" s="17"/>
      <c r="G240" s="17"/>
      <c r="H240" s="17"/>
      <c r="I240" s="17"/>
      <c r="J240" s="17"/>
      <c r="K240" s="17"/>
    </row>
    <row r="241" spans="1:11" ht="15" customHeight="1">
      <c r="A241" s="18"/>
      <c r="B241" s="101"/>
      <c r="C241" s="17"/>
      <c r="D241" s="17"/>
      <c r="E241" s="17"/>
      <c r="F241" s="17"/>
      <c r="G241" s="17"/>
      <c r="H241" s="17"/>
      <c r="I241" s="17"/>
      <c r="J241" s="17"/>
      <c r="K241" s="17"/>
    </row>
    <row r="242" spans="1:11" ht="15" customHeight="1">
      <c r="A242" s="364" t="s">
        <v>163</v>
      </c>
      <c r="B242" s="321" t="s">
        <v>191</v>
      </c>
      <c r="C242" s="321" t="s">
        <v>192</v>
      </c>
      <c r="D242" s="321" t="s">
        <v>193</v>
      </c>
      <c r="E242" s="321" t="s">
        <v>194</v>
      </c>
      <c r="F242" s="321" t="s">
        <v>195</v>
      </c>
      <c r="G242" s="321" t="s">
        <v>196</v>
      </c>
      <c r="H242" s="321" t="s">
        <v>197</v>
      </c>
      <c r="I242" s="321" t="s">
        <v>198</v>
      </c>
      <c r="J242" s="369" t="s">
        <v>199</v>
      </c>
      <c r="K242" s="369" t="s">
        <v>655</v>
      </c>
    </row>
    <row r="243" spans="1:11" ht="15" customHeight="1">
      <c r="A243" s="365"/>
      <c r="B243" s="322"/>
      <c r="C243" s="322"/>
      <c r="D243" s="322"/>
      <c r="E243" s="322"/>
      <c r="F243" s="322"/>
      <c r="G243" s="322"/>
      <c r="H243" s="322"/>
      <c r="I243" s="322"/>
      <c r="J243" s="370"/>
      <c r="K243" s="370"/>
    </row>
    <row r="244" spans="1:11" ht="15" customHeight="1">
      <c r="A244" s="55" t="s">
        <v>188</v>
      </c>
      <c r="B244" s="108">
        <f>+B246</f>
        <v>1457100442</v>
      </c>
      <c r="C244" s="13">
        <f aca="true" t="shared" si="113" ref="C244:K244">+C246</f>
        <v>1128084060</v>
      </c>
      <c r="D244" s="13">
        <f t="shared" si="113"/>
        <v>1184488262</v>
      </c>
      <c r="E244" s="13">
        <f t="shared" si="113"/>
        <v>1243712675</v>
      </c>
      <c r="F244" s="13">
        <f t="shared" si="113"/>
        <v>1305898310</v>
      </c>
      <c r="G244" s="13">
        <f t="shared" si="113"/>
        <v>1371193226</v>
      </c>
      <c r="H244" s="13">
        <f t="shared" si="113"/>
        <v>1439752887</v>
      </c>
      <c r="I244" s="13">
        <f t="shared" si="113"/>
        <v>1511740531</v>
      </c>
      <c r="J244" s="13">
        <f t="shared" si="113"/>
        <v>1587327557</v>
      </c>
      <c r="K244" s="13">
        <f t="shared" si="113"/>
        <v>1666693935</v>
      </c>
    </row>
    <row r="245" spans="1:11" ht="15" customHeight="1">
      <c r="A245" s="46"/>
      <c r="B245" s="99"/>
      <c r="C245" s="47"/>
      <c r="D245" s="47"/>
      <c r="E245" s="27"/>
      <c r="F245" s="27"/>
      <c r="G245" s="27"/>
      <c r="H245" s="27"/>
      <c r="I245" s="27"/>
      <c r="J245" s="27"/>
      <c r="K245" s="27"/>
    </row>
    <row r="246" spans="1:11" ht="15" customHeight="1">
      <c r="A246" s="45" t="s">
        <v>174</v>
      </c>
      <c r="B246" s="99">
        <f>+B248+B250+B252+B257+B259</f>
        <v>1457100442</v>
      </c>
      <c r="C246" s="99">
        <f aca="true" t="shared" si="114" ref="C246:K246">+C248+C250+C252+C257+C259</f>
        <v>1128084060</v>
      </c>
      <c r="D246" s="99">
        <f t="shared" si="114"/>
        <v>1184488262</v>
      </c>
      <c r="E246" s="99">
        <f t="shared" si="114"/>
        <v>1243712675</v>
      </c>
      <c r="F246" s="99">
        <f t="shared" si="114"/>
        <v>1305898310</v>
      </c>
      <c r="G246" s="99">
        <f t="shared" si="114"/>
        <v>1371193226</v>
      </c>
      <c r="H246" s="99">
        <f t="shared" si="114"/>
        <v>1439752887</v>
      </c>
      <c r="I246" s="99">
        <f t="shared" si="114"/>
        <v>1511740531</v>
      </c>
      <c r="J246" s="99">
        <f t="shared" si="114"/>
        <v>1587327557</v>
      </c>
      <c r="K246" s="99">
        <f t="shared" si="114"/>
        <v>1666693935</v>
      </c>
    </row>
    <row r="247" spans="1:11" ht="15" customHeight="1">
      <c r="A247" s="53"/>
      <c r="B247" s="99"/>
      <c r="C247" s="51"/>
      <c r="D247" s="51"/>
      <c r="E247" s="27"/>
      <c r="F247" s="27"/>
      <c r="G247" s="27"/>
      <c r="H247" s="27"/>
      <c r="I247" s="27"/>
      <c r="J247" s="27"/>
      <c r="K247" s="27"/>
    </row>
    <row r="248" spans="1:11" ht="15" customHeight="1">
      <c r="A248" s="45" t="s">
        <v>175</v>
      </c>
      <c r="B248" s="99">
        <f>+B89</f>
        <v>219060121</v>
      </c>
      <c r="C248" s="27">
        <f aca="true" t="shared" si="115" ref="C248:K248">+C89</f>
        <v>230013127</v>
      </c>
      <c r="D248" s="27">
        <f t="shared" si="115"/>
        <v>241513783</v>
      </c>
      <c r="E248" s="27">
        <f t="shared" si="115"/>
        <v>253589472</v>
      </c>
      <c r="F248" s="27">
        <f t="shared" si="115"/>
        <v>266268946</v>
      </c>
      <c r="G248" s="27">
        <f t="shared" si="115"/>
        <v>279582393</v>
      </c>
      <c r="H248" s="27">
        <f t="shared" si="115"/>
        <v>293561513</v>
      </c>
      <c r="I248" s="27">
        <f t="shared" si="115"/>
        <v>308239589</v>
      </c>
      <c r="J248" s="27">
        <f t="shared" si="115"/>
        <v>323651568</v>
      </c>
      <c r="K248" s="27">
        <f t="shared" si="115"/>
        <v>339834146</v>
      </c>
    </row>
    <row r="249" spans="1:11" ht="15" customHeight="1">
      <c r="A249" s="45"/>
      <c r="B249" s="99"/>
      <c r="C249" s="47"/>
      <c r="D249" s="47"/>
      <c r="E249" s="27"/>
      <c r="F249" s="27"/>
      <c r="G249" s="27"/>
      <c r="H249" s="27"/>
      <c r="I249" s="27"/>
      <c r="J249" s="27"/>
      <c r="K249" s="27"/>
    </row>
    <row r="250" spans="1:11" ht="15" customHeight="1">
      <c r="A250" s="45" t="s">
        <v>19</v>
      </c>
      <c r="B250" s="99">
        <f aca="true" t="shared" si="116" ref="B250:K250">+B98</f>
        <v>285209436</v>
      </c>
      <c r="C250" s="27">
        <f t="shared" si="116"/>
        <v>299469908</v>
      </c>
      <c r="D250" s="27">
        <f t="shared" si="116"/>
        <v>314443403</v>
      </c>
      <c r="E250" s="27">
        <f t="shared" si="116"/>
        <v>330165573</v>
      </c>
      <c r="F250" s="27">
        <f t="shared" si="116"/>
        <v>346673852</v>
      </c>
      <c r="G250" s="27">
        <f t="shared" si="116"/>
        <v>364007545</v>
      </c>
      <c r="H250" s="27">
        <f t="shared" si="116"/>
        <v>382207922</v>
      </c>
      <c r="I250" s="27">
        <f t="shared" si="116"/>
        <v>401318318</v>
      </c>
      <c r="J250" s="27">
        <f t="shared" si="116"/>
        <v>421384234</v>
      </c>
      <c r="K250" s="27">
        <f t="shared" si="116"/>
        <v>442453446</v>
      </c>
    </row>
    <row r="251" spans="1:11" ht="15" customHeight="1">
      <c r="A251" s="45"/>
      <c r="B251" s="99"/>
      <c r="C251" s="47"/>
      <c r="D251" s="47"/>
      <c r="E251" s="27"/>
      <c r="F251" s="27"/>
      <c r="G251" s="27"/>
      <c r="H251" s="27"/>
      <c r="I251" s="27"/>
      <c r="J251" s="27"/>
      <c r="K251" s="27"/>
    </row>
    <row r="252" spans="1:11" ht="15" customHeight="1">
      <c r="A252" s="49" t="s">
        <v>176</v>
      </c>
      <c r="B252" s="99">
        <f>+B253+B254+B255</f>
        <v>914557108</v>
      </c>
      <c r="C252" s="27">
        <f aca="true" t="shared" si="117" ref="C252:K252">+C253+C254+C255</f>
        <v>574163559</v>
      </c>
      <c r="D252" s="27">
        <f t="shared" si="117"/>
        <v>602871737</v>
      </c>
      <c r="E252" s="27">
        <f t="shared" si="117"/>
        <v>633015324</v>
      </c>
      <c r="F252" s="27">
        <f t="shared" si="117"/>
        <v>664666091</v>
      </c>
      <c r="G252" s="27">
        <f t="shared" si="117"/>
        <v>697899396</v>
      </c>
      <c r="H252" s="27">
        <f t="shared" si="117"/>
        <v>732794365</v>
      </c>
      <c r="I252" s="27">
        <f t="shared" si="117"/>
        <v>769434083</v>
      </c>
      <c r="J252" s="27">
        <f t="shared" si="117"/>
        <v>807905787</v>
      </c>
      <c r="K252" s="27">
        <f t="shared" si="117"/>
        <v>848301077</v>
      </c>
    </row>
    <row r="253" spans="1:11" ht="15" customHeight="1">
      <c r="A253" s="52" t="s">
        <v>20</v>
      </c>
      <c r="B253" s="99">
        <f>+B111</f>
        <v>40663385</v>
      </c>
      <c r="C253" s="27">
        <f aca="true" t="shared" si="118" ref="C253:K253">+C111</f>
        <v>42696554</v>
      </c>
      <c r="D253" s="27">
        <f t="shared" si="118"/>
        <v>44831382</v>
      </c>
      <c r="E253" s="27">
        <f t="shared" si="118"/>
        <v>47072951</v>
      </c>
      <c r="F253" s="27">
        <f t="shared" si="118"/>
        <v>49426599</v>
      </c>
      <c r="G253" s="27">
        <f t="shared" si="118"/>
        <v>51897929</v>
      </c>
      <c r="H253" s="27">
        <f t="shared" si="118"/>
        <v>54492825</v>
      </c>
      <c r="I253" s="27">
        <f t="shared" si="118"/>
        <v>57217466</v>
      </c>
      <c r="J253" s="27">
        <f t="shared" si="118"/>
        <v>60078339</v>
      </c>
      <c r="K253" s="27">
        <f t="shared" si="118"/>
        <v>63082256</v>
      </c>
    </row>
    <row r="254" spans="1:11" ht="15" customHeight="1">
      <c r="A254" s="52" t="s">
        <v>21</v>
      </c>
      <c r="B254" s="99">
        <f>+B113</f>
        <v>30497539</v>
      </c>
      <c r="C254" s="27">
        <f aca="true" t="shared" si="119" ref="C254:K254">+C113</f>
        <v>32022416</v>
      </c>
      <c r="D254" s="27">
        <f t="shared" si="119"/>
        <v>33623537</v>
      </c>
      <c r="E254" s="27">
        <f t="shared" si="119"/>
        <v>35304714</v>
      </c>
      <c r="F254" s="27">
        <f t="shared" si="119"/>
        <v>37069950</v>
      </c>
      <c r="G254" s="27">
        <f t="shared" si="119"/>
        <v>38923448</v>
      </c>
      <c r="H254" s="27">
        <f t="shared" si="119"/>
        <v>40869620</v>
      </c>
      <c r="I254" s="27">
        <f t="shared" si="119"/>
        <v>42913101</v>
      </c>
      <c r="J254" s="27">
        <f t="shared" si="119"/>
        <v>45058756</v>
      </c>
      <c r="K254" s="27">
        <f t="shared" si="119"/>
        <v>47311694</v>
      </c>
    </row>
    <row r="255" spans="1:11" ht="15" customHeight="1">
      <c r="A255" s="52" t="s">
        <v>22</v>
      </c>
      <c r="B255" s="99">
        <f>+B115+B109</f>
        <v>843396184</v>
      </c>
      <c r="C255" s="27">
        <f aca="true" t="shared" si="120" ref="C255:K255">+C115</f>
        <v>499444589</v>
      </c>
      <c r="D255" s="27">
        <f t="shared" si="120"/>
        <v>524416818</v>
      </c>
      <c r="E255" s="27">
        <f t="shared" si="120"/>
        <v>550637659</v>
      </c>
      <c r="F255" s="27">
        <f t="shared" si="120"/>
        <v>578169542</v>
      </c>
      <c r="G255" s="27">
        <f t="shared" si="120"/>
        <v>607078019</v>
      </c>
      <c r="H255" s="27">
        <f t="shared" si="120"/>
        <v>637431920</v>
      </c>
      <c r="I255" s="27">
        <f t="shared" si="120"/>
        <v>669303516</v>
      </c>
      <c r="J255" s="27">
        <f t="shared" si="120"/>
        <v>702768692</v>
      </c>
      <c r="K255" s="27">
        <f t="shared" si="120"/>
        <v>737907127</v>
      </c>
    </row>
    <row r="256" spans="1:11" ht="15" customHeight="1">
      <c r="A256" s="52"/>
      <c r="B256" s="99"/>
      <c r="C256" s="50"/>
      <c r="D256" s="47"/>
      <c r="E256" s="27"/>
      <c r="F256" s="27"/>
      <c r="G256" s="27"/>
      <c r="H256" s="27"/>
      <c r="I256" s="27"/>
      <c r="J256" s="27"/>
      <c r="K256" s="27"/>
    </row>
    <row r="257" spans="1:11" ht="15" customHeight="1">
      <c r="A257" s="49" t="s">
        <v>23</v>
      </c>
      <c r="B257" s="99">
        <f>+B95</f>
        <v>23273777</v>
      </c>
      <c r="C257" s="27">
        <f aca="true" t="shared" si="121" ref="C257:K259">+C95</f>
        <v>24437466</v>
      </c>
      <c r="D257" s="27">
        <f t="shared" si="121"/>
        <v>25659339</v>
      </c>
      <c r="E257" s="27">
        <f t="shared" si="121"/>
        <v>26942306</v>
      </c>
      <c r="F257" s="27">
        <f t="shared" si="121"/>
        <v>28289421</v>
      </c>
      <c r="G257" s="27">
        <f t="shared" si="121"/>
        <v>29703892</v>
      </c>
      <c r="H257" s="27">
        <f t="shared" si="121"/>
        <v>31189087</v>
      </c>
      <c r="I257" s="27">
        <f t="shared" si="121"/>
        <v>32748541</v>
      </c>
      <c r="J257" s="27">
        <f t="shared" si="121"/>
        <v>34385968</v>
      </c>
      <c r="K257" s="27">
        <f t="shared" si="121"/>
        <v>36105266</v>
      </c>
    </row>
    <row r="258" spans="1:11" ht="15" customHeight="1">
      <c r="A258" s="49"/>
      <c r="B258" s="99"/>
      <c r="C258" s="27"/>
      <c r="D258" s="27"/>
      <c r="E258" s="27"/>
      <c r="F258" s="27"/>
      <c r="G258" s="27"/>
      <c r="H258" s="27"/>
      <c r="I258" s="27"/>
      <c r="J258" s="27"/>
      <c r="K258" s="27"/>
    </row>
    <row r="259" spans="1:11" ht="15" customHeight="1">
      <c r="A259" s="49" t="s">
        <v>669</v>
      </c>
      <c r="B259" s="99">
        <f>+B178</f>
        <v>15000000</v>
      </c>
      <c r="C259" s="27">
        <f t="shared" si="121"/>
        <v>0</v>
      </c>
      <c r="D259" s="27">
        <f t="shared" si="121"/>
        <v>0</v>
      </c>
      <c r="E259" s="27">
        <f t="shared" si="121"/>
        <v>0</v>
      </c>
      <c r="F259" s="27">
        <f t="shared" si="121"/>
        <v>0</v>
      </c>
      <c r="G259" s="27">
        <f t="shared" si="121"/>
        <v>0</v>
      </c>
      <c r="H259" s="27">
        <f t="shared" si="121"/>
        <v>0</v>
      </c>
      <c r="I259" s="27">
        <f t="shared" si="121"/>
        <v>0</v>
      </c>
      <c r="J259" s="27">
        <f t="shared" si="121"/>
        <v>0</v>
      </c>
      <c r="K259" s="27">
        <f t="shared" si="121"/>
        <v>0</v>
      </c>
    </row>
    <row r="260" spans="1:11" ht="15" customHeight="1">
      <c r="A260" s="52"/>
      <c r="B260" s="99"/>
      <c r="C260" s="47"/>
      <c r="D260" s="47"/>
      <c r="E260" s="27"/>
      <c r="F260" s="27"/>
      <c r="G260" s="27"/>
      <c r="H260" s="27"/>
      <c r="I260" s="27"/>
      <c r="J260" s="27"/>
      <c r="K260" s="27"/>
    </row>
    <row r="261" spans="1:11" ht="15" customHeight="1">
      <c r="A261" s="8" t="s">
        <v>189</v>
      </c>
      <c r="B261" s="31">
        <f>+B118</f>
        <v>100000000</v>
      </c>
      <c r="C261" s="25">
        <f aca="true" t="shared" si="122" ref="C261:K262">+C118</f>
        <v>105000000</v>
      </c>
      <c r="D261" s="25">
        <f t="shared" si="122"/>
        <v>110250000</v>
      </c>
      <c r="E261" s="25">
        <f t="shared" si="122"/>
        <v>115762500</v>
      </c>
      <c r="F261" s="25">
        <f t="shared" si="122"/>
        <v>121550625</v>
      </c>
      <c r="G261" s="25">
        <f t="shared" si="122"/>
        <v>127628156</v>
      </c>
      <c r="H261" s="25">
        <f t="shared" si="122"/>
        <v>134009564</v>
      </c>
      <c r="I261" s="25">
        <f t="shared" si="122"/>
        <v>140710042</v>
      </c>
      <c r="J261" s="25">
        <f t="shared" si="122"/>
        <v>147745544</v>
      </c>
      <c r="K261" s="25">
        <f t="shared" si="122"/>
        <v>155132821</v>
      </c>
    </row>
    <row r="262" spans="1:11" ht="15" customHeight="1">
      <c r="A262" s="8" t="s">
        <v>240</v>
      </c>
      <c r="B262" s="99">
        <v>100000000</v>
      </c>
      <c r="C262" s="27">
        <f t="shared" si="122"/>
        <v>105000000</v>
      </c>
      <c r="D262" s="27">
        <f t="shared" si="122"/>
        <v>110250000</v>
      </c>
      <c r="E262" s="27">
        <f t="shared" si="122"/>
        <v>115762500</v>
      </c>
      <c r="F262" s="27">
        <f t="shared" si="122"/>
        <v>121550625</v>
      </c>
      <c r="G262" s="27">
        <f t="shared" si="122"/>
        <v>127628156</v>
      </c>
      <c r="H262" s="27">
        <f t="shared" si="122"/>
        <v>134009564</v>
      </c>
      <c r="I262" s="27">
        <f t="shared" si="122"/>
        <v>140710042</v>
      </c>
      <c r="J262" s="27">
        <f t="shared" si="122"/>
        <v>147745544</v>
      </c>
      <c r="K262" s="27">
        <f t="shared" si="122"/>
        <v>155132821</v>
      </c>
    </row>
    <row r="263" spans="1:11" ht="24" hidden="1">
      <c r="A263" s="130" t="s">
        <v>239</v>
      </c>
      <c r="B263" s="41">
        <v>0</v>
      </c>
      <c r="C263" s="27">
        <v>0</v>
      </c>
      <c r="D263" s="27">
        <v>0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</row>
    <row r="264" spans="1:11" ht="15" customHeight="1">
      <c r="A264" s="31"/>
      <c r="B264" s="31"/>
      <c r="C264" s="25"/>
      <c r="D264" s="25"/>
      <c r="E264" s="25"/>
      <c r="F264" s="25"/>
      <c r="G264" s="25"/>
      <c r="H264" s="25"/>
      <c r="I264" s="25"/>
      <c r="J264" s="25"/>
      <c r="K264" s="25"/>
    </row>
    <row r="265" spans="1:11" ht="15" customHeight="1">
      <c r="A265" s="31"/>
      <c r="B265" s="109"/>
      <c r="C265" s="48"/>
      <c r="D265" s="48"/>
      <c r="E265" s="48"/>
      <c r="F265" s="27"/>
      <c r="G265" s="27"/>
      <c r="H265" s="27"/>
      <c r="I265" s="27"/>
      <c r="J265" s="27"/>
      <c r="K265" s="27"/>
    </row>
    <row r="266" spans="1:11" ht="15" customHeight="1">
      <c r="A266" s="363" t="s">
        <v>190</v>
      </c>
      <c r="B266" s="373">
        <f>+B269+B271+B275+B273</f>
        <v>1332077663.67</v>
      </c>
      <c r="C266" s="371">
        <f aca="true" t="shared" si="123" ref="C266:K266">+C269+C271+C275+C273</f>
        <v>1294896653</v>
      </c>
      <c r="D266" s="371">
        <f t="shared" si="123"/>
        <v>1359641486</v>
      </c>
      <c r="E266" s="371">
        <f t="shared" si="123"/>
        <v>1427623560</v>
      </c>
      <c r="F266" s="371">
        <f t="shared" si="123"/>
        <v>1499004739</v>
      </c>
      <c r="G266" s="371">
        <f t="shared" si="123"/>
        <v>1573954976</v>
      </c>
      <c r="H266" s="371">
        <f t="shared" si="123"/>
        <v>1652652726</v>
      </c>
      <c r="I266" s="371">
        <f t="shared" si="123"/>
        <v>1735285363</v>
      </c>
      <c r="J266" s="371">
        <f t="shared" si="123"/>
        <v>1822049631</v>
      </c>
      <c r="K266" s="371">
        <f t="shared" si="123"/>
        <v>1913152112</v>
      </c>
    </row>
    <row r="267" spans="1:11" ht="15" customHeight="1">
      <c r="A267" s="363"/>
      <c r="B267" s="374"/>
      <c r="C267" s="372"/>
      <c r="D267" s="372"/>
      <c r="E267" s="372"/>
      <c r="F267" s="372"/>
      <c r="G267" s="372"/>
      <c r="H267" s="372"/>
      <c r="I267" s="372"/>
      <c r="J267" s="372"/>
      <c r="K267" s="372"/>
    </row>
    <row r="268" spans="1:11" ht="15" customHeight="1">
      <c r="A268" s="53"/>
      <c r="B268" s="109"/>
      <c r="C268" s="361"/>
      <c r="D268" s="361"/>
      <c r="E268" s="48"/>
      <c r="F268" s="27"/>
      <c r="G268" s="27"/>
      <c r="H268" s="27"/>
      <c r="I268" s="27"/>
      <c r="J268" s="27"/>
      <c r="K268" s="27"/>
    </row>
    <row r="269" spans="1:11" ht="15" customHeight="1">
      <c r="A269" s="3" t="s">
        <v>28</v>
      </c>
      <c r="B269" s="99">
        <f>+B124</f>
        <v>1292077663.67</v>
      </c>
      <c r="C269" s="27">
        <f aca="true" t="shared" si="124" ref="C269:K269">+C124</f>
        <v>1252896653</v>
      </c>
      <c r="D269" s="27">
        <f t="shared" si="124"/>
        <v>1315541486</v>
      </c>
      <c r="E269" s="27">
        <f t="shared" si="124"/>
        <v>1381318560</v>
      </c>
      <c r="F269" s="27">
        <f t="shared" si="124"/>
        <v>1450384488</v>
      </c>
      <c r="G269" s="27">
        <f t="shared" si="124"/>
        <v>1522903713</v>
      </c>
      <c r="H269" s="27">
        <f t="shared" si="124"/>
        <v>1599048900</v>
      </c>
      <c r="I269" s="27">
        <f t="shared" si="124"/>
        <v>1679001346</v>
      </c>
      <c r="J269" s="27">
        <f t="shared" si="124"/>
        <v>1762951413</v>
      </c>
      <c r="K269" s="27">
        <f t="shared" si="124"/>
        <v>1851098983</v>
      </c>
    </row>
    <row r="270" spans="1:11" ht="15" customHeight="1">
      <c r="A270" s="3"/>
      <c r="B270" s="99"/>
      <c r="C270" s="48"/>
      <c r="D270" s="48"/>
      <c r="E270" s="48"/>
      <c r="F270" s="27"/>
      <c r="G270" s="27"/>
      <c r="H270" s="27"/>
      <c r="I270" s="27"/>
      <c r="J270" s="27"/>
      <c r="K270" s="27"/>
    </row>
    <row r="271" spans="1:11" ht="15" customHeight="1">
      <c r="A271" s="46" t="s">
        <v>177</v>
      </c>
      <c r="B271" s="99">
        <f aca="true" t="shared" si="125" ref="B271:K271">+B169</f>
        <v>0</v>
      </c>
      <c r="C271" s="27">
        <f t="shared" si="125"/>
        <v>0</v>
      </c>
      <c r="D271" s="27">
        <f t="shared" si="125"/>
        <v>0</v>
      </c>
      <c r="E271" s="27">
        <f t="shared" si="125"/>
        <v>0</v>
      </c>
      <c r="F271" s="27">
        <f t="shared" si="125"/>
        <v>0</v>
      </c>
      <c r="G271" s="27">
        <f t="shared" si="125"/>
        <v>0</v>
      </c>
      <c r="H271" s="27">
        <f t="shared" si="125"/>
        <v>0</v>
      </c>
      <c r="I271" s="27">
        <f t="shared" si="125"/>
        <v>0</v>
      </c>
      <c r="J271" s="27">
        <f t="shared" si="125"/>
        <v>0</v>
      </c>
      <c r="K271" s="27">
        <f t="shared" si="125"/>
        <v>0</v>
      </c>
    </row>
    <row r="272" spans="1:11" ht="15" customHeight="1">
      <c r="A272" s="53"/>
      <c r="B272" s="99"/>
      <c r="C272" s="54"/>
      <c r="D272" s="54"/>
      <c r="E272" s="48"/>
      <c r="F272" s="27"/>
      <c r="G272" s="27"/>
      <c r="H272" s="27"/>
      <c r="I272" s="27"/>
      <c r="J272" s="27"/>
      <c r="K272" s="27"/>
    </row>
    <row r="273" spans="1:11" ht="15" customHeight="1">
      <c r="A273" s="46" t="s">
        <v>33</v>
      </c>
      <c r="B273" s="99">
        <f>+B172</f>
        <v>10000000</v>
      </c>
      <c r="C273" s="27">
        <f aca="true" t="shared" si="126" ref="C273:K273">+C172</f>
        <v>10500000</v>
      </c>
      <c r="D273" s="27">
        <f t="shared" si="126"/>
        <v>11025000</v>
      </c>
      <c r="E273" s="27">
        <f t="shared" si="126"/>
        <v>11576250</v>
      </c>
      <c r="F273" s="27">
        <f t="shared" si="126"/>
        <v>12155063</v>
      </c>
      <c r="G273" s="27">
        <f t="shared" si="126"/>
        <v>12762816</v>
      </c>
      <c r="H273" s="27">
        <f t="shared" si="126"/>
        <v>13400957</v>
      </c>
      <c r="I273" s="27">
        <f t="shared" si="126"/>
        <v>14071005</v>
      </c>
      <c r="J273" s="27">
        <f t="shared" si="126"/>
        <v>14774555</v>
      </c>
      <c r="K273" s="27">
        <f t="shared" si="126"/>
        <v>15513283</v>
      </c>
    </row>
    <row r="274" spans="1:11" ht="15" customHeight="1">
      <c r="A274" s="3"/>
      <c r="B274" s="99"/>
      <c r="C274" s="48"/>
      <c r="D274" s="48"/>
      <c r="E274" s="48"/>
      <c r="F274" s="27"/>
      <c r="G274" s="27"/>
      <c r="H274" s="27"/>
      <c r="I274" s="27"/>
      <c r="J274" s="27"/>
      <c r="K274" s="27"/>
    </row>
    <row r="275" spans="1:11" ht="15" customHeight="1">
      <c r="A275" s="3" t="s">
        <v>35</v>
      </c>
      <c r="B275" s="99">
        <f>+B175</f>
        <v>30000000</v>
      </c>
      <c r="C275" s="27">
        <f aca="true" t="shared" si="127" ref="C275:K275">+C175</f>
        <v>31500000</v>
      </c>
      <c r="D275" s="27">
        <f t="shared" si="127"/>
        <v>33075000</v>
      </c>
      <c r="E275" s="27">
        <f t="shared" si="127"/>
        <v>34728750</v>
      </c>
      <c r="F275" s="27">
        <f t="shared" si="127"/>
        <v>36465188</v>
      </c>
      <c r="G275" s="27">
        <f t="shared" si="127"/>
        <v>38288447</v>
      </c>
      <c r="H275" s="27">
        <f t="shared" si="127"/>
        <v>40202869</v>
      </c>
      <c r="I275" s="27">
        <f t="shared" si="127"/>
        <v>42213012</v>
      </c>
      <c r="J275" s="27">
        <f t="shared" si="127"/>
        <v>44323663</v>
      </c>
      <c r="K275" s="27">
        <f t="shared" si="127"/>
        <v>46539846</v>
      </c>
    </row>
    <row r="276" spans="1:11" ht="15" customHeight="1">
      <c r="A276" s="3"/>
      <c r="B276" s="99"/>
      <c r="C276" s="48"/>
      <c r="D276" s="48"/>
      <c r="E276" s="48"/>
      <c r="F276" s="27"/>
      <c r="G276" s="27"/>
      <c r="H276" s="27"/>
      <c r="I276" s="27"/>
      <c r="J276" s="27"/>
      <c r="K276" s="27"/>
    </row>
    <row r="277" spans="1:11" ht="21.75" customHeight="1">
      <c r="A277" s="8" t="s">
        <v>178</v>
      </c>
      <c r="B277" s="31">
        <f aca="true" t="shared" si="128" ref="B277:K277">+B197+B212+B217</f>
        <v>11057978105.67</v>
      </c>
      <c r="C277" s="25">
        <f t="shared" si="128"/>
        <v>10475220713</v>
      </c>
      <c r="D277" s="25">
        <f t="shared" si="128"/>
        <v>10998981748</v>
      </c>
      <c r="E277" s="25">
        <f t="shared" si="128"/>
        <v>11548930837</v>
      </c>
      <c r="F277" s="25">
        <f t="shared" si="128"/>
        <v>12126377384</v>
      </c>
      <c r="G277" s="25">
        <f t="shared" si="128"/>
        <v>12732696257</v>
      </c>
      <c r="H277" s="25">
        <f t="shared" si="128"/>
        <v>13369331071</v>
      </c>
      <c r="I277" s="25">
        <f t="shared" si="128"/>
        <v>14037797629</v>
      </c>
      <c r="J277" s="25">
        <f t="shared" si="128"/>
        <v>14739687511</v>
      </c>
      <c r="K277" s="25">
        <f t="shared" si="128"/>
        <v>15476671885</v>
      </c>
    </row>
    <row r="278" spans="1:11" ht="15" customHeight="1" hidden="1">
      <c r="A278" s="14"/>
      <c r="B278" s="104">
        <f>+B277-B184</f>
        <v>0</v>
      </c>
      <c r="C278" s="19"/>
      <c r="D278" s="19"/>
      <c r="E278" s="19"/>
      <c r="F278" s="17"/>
      <c r="G278" s="17"/>
      <c r="H278" s="17"/>
      <c r="I278" s="17"/>
      <c r="J278" s="17"/>
      <c r="K278" s="17"/>
    </row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spans="2:11" ht="15" customHeight="1" hidden="1">
      <c r="B295" s="110">
        <f aca="true" t="shared" si="129" ref="B295:K295">+B277-B184</f>
        <v>0</v>
      </c>
      <c r="C295" s="22">
        <f t="shared" si="129"/>
        <v>42000000</v>
      </c>
      <c r="D295" s="22">
        <f t="shared" si="129"/>
        <v>44100000</v>
      </c>
      <c r="E295" s="22">
        <f t="shared" si="129"/>
        <v>46305000</v>
      </c>
      <c r="F295" s="22">
        <f t="shared" si="129"/>
        <v>48620251</v>
      </c>
      <c r="G295" s="22">
        <f t="shared" si="129"/>
        <v>51051263</v>
      </c>
      <c r="H295" s="22">
        <f t="shared" si="129"/>
        <v>53603826</v>
      </c>
      <c r="I295" s="22">
        <f t="shared" si="129"/>
        <v>56284017</v>
      </c>
      <c r="J295" s="22">
        <f t="shared" si="129"/>
        <v>59098218</v>
      </c>
      <c r="K295" s="22">
        <f t="shared" si="129"/>
        <v>62053129</v>
      </c>
    </row>
    <row r="296" ht="15" customHeight="1"/>
    <row r="300" spans="1:15" ht="19.5" customHeight="1">
      <c r="A300" s="385" t="s">
        <v>670</v>
      </c>
      <c r="B300" s="385"/>
      <c r="C300" s="385"/>
      <c r="D300" s="385"/>
      <c r="E300" s="385"/>
      <c r="F300" s="385"/>
      <c r="G300" s="385"/>
      <c r="H300" s="385"/>
      <c r="I300" s="385"/>
      <c r="J300" s="385"/>
      <c r="K300" s="385"/>
      <c r="L300" s="62"/>
      <c r="M300" s="62"/>
      <c r="N300" s="62"/>
      <c r="O300" s="62"/>
    </row>
    <row r="302" spans="1:11" ht="19.5" customHeight="1">
      <c r="A302" s="67" t="s">
        <v>163</v>
      </c>
      <c r="B302" s="68" t="s">
        <v>191</v>
      </c>
      <c r="C302" s="69" t="s">
        <v>192</v>
      </c>
      <c r="D302" s="68" t="s">
        <v>193</v>
      </c>
      <c r="E302" s="70" t="s">
        <v>194</v>
      </c>
      <c r="F302" s="68" t="s">
        <v>195</v>
      </c>
      <c r="G302" s="69" t="s">
        <v>196</v>
      </c>
      <c r="H302" s="68" t="s">
        <v>197</v>
      </c>
      <c r="I302" s="69" t="s">
        <v>198</v>
      </c>
      <c r="J302" s="68" t="s">
        <v>199</v>
      </c>
      <c r="K302" s="68" t="s">
        <v>655</v>
      </c>
    </row>
    <row r="303" spans="1:11" ht="19.5" customHeight="1">
      <c r="A303" s="60" t="s">
        <v>1</v>
      </c>
      <c r="B303" s="111">
        <f aca="true" t="shared" si="130" ref="B303:K303">+B13+B74</f>
        <v>9685900442</v>
      </c>
      <c r="C303" s="72">
        <f t="shared" si="130"/>
        <v>9154074060</v>
      </c>
      <c r="D303" s="72">
        <f t="shared" si="130"/>
        <v>9611777762</v>
      </c>
      <c r="E303" s="72">
        <f t="shared" si="130"/>
        <v>10092366652</v>
      </c>
      <c r="F303" s="72">
        <f t="shared" si="130"/>
        <v>10596984989</v>
      </c>
      <c r="G303" s="72">
        <f t="shared" si="130"/>
        <v>11126834242</v>
      </c>
      <c r="H303" s="72">
        <f t="shared" si="130"/>
        <v>11683175954</v>
      </c>
      <c r="I303" s="72">
        <f t="shared" si="130"/>
        <v>12267334755</v>
      </c>
      <c r="J303" s="72">
        <f t="shared" si="130"/>
        <v>12880701493</v>
      </c>
      <c r="K303" s="72">
        <f t="shared" si="130"/>
        <v>13524736567</v>
      </c>
    </row>
    <row r="304" spans="1:11" ht="19.5" customHeight="1">
      <c r="A304" s="60" t="s">
        <v>37</v>
      </c>
      <c r="B304" s="86">
        <f>+B63+B178</f>
        <v>40000000</v>
      </c>
      <c r="C304" s="71">
        <f aca="true" t="shared" si="131" ref="C304:K304">+C63</f>
        <v>26250000</v>
      </c>
      <c r="D304" s="71">
        <f t="shared" si="131"/>
        <v>27562500</v>
      </c>
      <c r="E304" s="71">
        <f t="shared" si="131"/>
        <v>28940625</v>
      </c>
      <c r="F304" s="71">
        <f t="shared" si="131"/>
        <v>30387656</v>
      </c>
      <c r="G304" s="71">
        <f t="shared" si="131"/>
        <v>31907039</v>
      </c>
      <c r="H304" s="71">
        <f t="shared" si="131"/>
        <v>33502391</v>
      </c>
      <c r="I304" s="71">
        <f t="shared" si="131"/>
        <v>35177511</v>
      </c>
      <c r="J304" s="71">
        <f t="shared" si="131"/>
        <v>36936387</v>
      </c>
      <c r="K304" s="71">
        <f t="shared" si="131"/>
        <v>38783206</v>
      </c>
    </row>
    <row r="305" spans="1:11" ht="19.5" customHeight="1">
      <c r="A305" s="60" t="s">
        <v>205</v>
      </c>
      <c r="B305" s="86">
        <f>+B197</f>
        <v>2728243950.76</v>
      </c>
      <c r="C305" s="71">
        <f aca="true" t="shared" si="132" ref="C305:K305">+C197</f>
        <v>2855206148</v>
      </c>
      <c r="D305" s="71">
        <f t="shared" si="132"/>
        <v>2997966456</v>
      </c>
      <c r="E305" s="71">
        <f t="shared" si="132"/>
        <v>3147864779</v>
      </c>
      <c r="F305" s="71">
        <f t="shared" si="132"/>
        <v>3305258018</v>
      </c>
      <c r="G305" s="71">
        <f t="shared" si="132"/>
        <v>3470520918</v>
      </c>
      <c r="H305" s="71">
        <f t="shared" si="132"/>
        <v>3644046965</v>
      </c>
      <c r="I305" s="71">
        <f t="shared" si="132"/>
        <v>3826249313</v>
      </c>
      <c r="J305" s="71">
        <f t="shared" si="132"/>
        <v>4017561779</v>
      </c>
      <c r="K305" s="71">
        <f t="shared" si="132"/>
        <v>4218439867</v>
      </c>
    </row>
    <row r="306" spans="1:11" ht="19.5" customHeight="1">
      <c r="A306" s="60" t="s">
        <v>206</v>
      </c>
      <c r="B306" s="86">
        <f aca="true" t="shared" si="133" ref="B306:K306">+B219+B244+B261</f>
        <v>6997656491.24</v>
      </c>
      <c r="C306" s="71">
        <f t="shared" si="133"/>
        <v>6325117912</v>
      </c>
      <c r="D306" s="71">
        <f t="shared" si="133"/>
        <v>6641373806</v>
      </c>
      <c r="E306" s="71">
        <f t="shared" si="133"/>
        <v>6973442498</v>
      </c>
      <c r="F306" s="71">
        <f t="shared" si="133"/>
        <v>7322114627</v>
      </c>
      <c r="G306" s="71">
        <f t="shared" si="133"/>
        <v>7688220363</v>
      </c>
      <c r="H306" s="71">
        <f t="shared" si="133"/>
        <v>8072631380</v>
      </c>
      <c r="I306" s="71">
        <f t="shared" si="133"/>
        <v>8476262953</v>
      </c>
      <c r="J306" s="71">
        <f t="shared" si="133"/>
        <v>8900076101</v>
      </c>
      <c r="K306" s="71">
        <f t="shared" si="133"/>
        <v>9345079906</v>
      </c>
    </row>
    <row r="307" spans="1:11" ht="19.5" customHeight="1">
      <c r="A307" s="73" t="s">
        <v>207</v>
      </c>
      <c r="B307" s="112">
        <f>+B303+B304-B305-B306</f>
        <v>0</v>
      </c>
      <c r="C307" s="74">
        <f aca="true" t="shared" si="134" ref="C307:K307">+C303+C304-C305-C306</f>
        <v>0</v>
      </c>
      <c r="D307" s="74">
        <f t="shared" si="134"/>
        <v>0</v>
      </c>
      <c r="E307" s="74">
        <f t="shared" si="134"/>
        <v>0</v>
      </c>
      <c r="F307" s="74">
        <f t="shared" si="134"/>
        <v>0</v>
      </c>
      <c r="G307" s="74">
        <f t="shared" si="134"/>
        <v>0</v>
      </c>
      <c r="H307" s="74">
        <f t="shared" si="134"/>
        <v>0</v>
      </c>
      <c r="I307" s="74">
        <f t="shared" si="134"/>
        <v>0</v>
      </c>
      <c r="J307" s="74">
        <f t="shared" si="134"/>
        <v>0</v>
      </c>
      <c r="K307" s="74">
        <f t="shared" si="134"/>
        <v>0</v>
      </c>
    </row>
    <row r="331" spans="2:11" ht="19.5" customHeight="1" hidden="1">
      <c r="B331" s="110">
        <f aca="true" t="shared" si="135" ref="B331:K331">+B307-B212</f>
        <v>0</v>
      </c>
      <c r="C331" s="22">
        <f t="shared" si="135"/>
        <v>0</v>
      </c>
      <c r="D331" s="22">
        <f t="shared" si="135"/>
        <v>0</v>
      </c>
      <c r="E331" s="22">
        <f t="shared" si="135"/>
        <v>0</v>
      </c>
      <c r="F331" s="22">
        <f t="shared" si="135"/>
        <v>0</v>
      </c>
      <c r="G331" s="22">
        <f t="shared" si="135"/>
        <v>0</v>
      </c>
      <c r="H331" s="22">
        <f t="shared" si="135"/>
        <v>0</v>
      </c>
      <c r="I331" s="22">
        <f t="shared" si="135"/>
        <v>0</v>
      </c>
      <c r="J331" s="22">
        <f t="shared" si="135"/>
        <v>0</v>
      </c>
      <c r="K331" s="22">
        <f t="shared" si="135"/>
        <v>0</v>
      </c>
    </row>
    <row r="333" spans="1:15" ht="19.5" customHeight="1">
      <c r="A333" s="384" t="s">
        <v>671</v>
      </c>
      <c r="B333" s="384"/>
      <c r="C333" s="384"/>
      <c r="D333" s="384"/>
      <c r="E333" s="384"/>
      <c r="F333" s="384"/>
      <c r="G333" s="384"/>
      <c r="H333" s="384"/>
      <c r="I333" s="384"/>
      <c r="J333" s="384"/>
      <c r="K333" s="384"/>
      <c r="L333" s="75"/>
      <c r="M333" s="75"/>
      <c r="N333" s="75"/>
      <c r="O333" s="75"/>
    </row>
    <row r="334" spans="1:15" ht="19.5" customHeight="1">
      <c r="A334" s="385" t="s">
        <v>208</v>
      </c>
      <c r="B334" s="385"/>
      <c r="C334" s="385"/>
      <c r="D334" s="385"/>
      <c r="E334" s="385"/>
      <c r="F334" s="385"/>
      <c r="G334" s="385"/>
      <c r="H334" s="385"/>
      <c r="I334" s="385"/>
      <c r="J334" s="385"/>
      <c r="K334" s="385"/>
      <c r="L334" s="62"/>
      <c r="M334" s="62"/>
      <c r="N334" s="62"/>
      <c r="O334" s="62"/>
    </row>
    <row r="336" spans="1:11" ht="20.25" customHeight="1">
      <c r="A336" s="78" t="s">
        <v>38</v>
      </c>
      <c r="B336" s="68" t="s">
        <v>191</v>
      </c>
      <c r="C336" s="69" t="s">
        <v>192</v>
      </c>
      <c r="D336" s="68" t="s">
        <v>193</v>
      </c>
      <c r="E336" s="79" t="s">
        <v>194</v>
      </c>
      <c r="F336" s="70" t="s">
        <v>195</v>
      </c>
      <c r="G336" s="68" t="s">
        <v>196</v>
      </c>
      <c r="H336" s="68" t="s">
        <v>197</v>
      </c>
      <c r="I336" s="68" t="s">
        <v>198</v>
      </c>
      <c r="J336" s="68" t="s">
        <v>199</v>
      </c>
      <c r="K336" s="68" t="s">
        <v>655</v>
      </c>
    </row>
    <row r="337" spans="1:11" ht="12" customHeight="1">
      <c r="A337" s="60"/>
      <c r="B337" s="113"/>
      <c r="C337" s="64"/>
      <c r="D337" s="61"/>
      <c r="E337" s="64"/>
      <c r="F337" s="80"/>
      <c r="G337" s="65"/>
      <c r="H337" s="66"/>
      <c r="I337" s="66"/>
      <c r="J337" s="66"/>
      <c r="K337" s="85"/>
    </row>
    <row r="338" spans="1:11" ht="12" customHeight="1">
      <c r="A338" s="60" t="s">
        <v>209</v>
      </c>
      <c r="B338" s="114">
        <f>+B13+B74</f>
        <v>9685900442</v>
      </c>
      <c r="C338" s="82">
        <f aca="true" t="shared" si="136" ref="C338:K338">+C14+C75</f>
        <v>7800975000</v>
      </c>
      <c r="D338" s="82">
        <f t="shared" si="136"/>
        <v>8191023750</v>
      </c>
      <c r="E338" s="82">
        <f t="shared" si="136"/>
        <v>8600574938</v>
      </c>
      <c r="F338" s="82">
        <f t="shared" si="136"/>
        <v>9030603686</v>
      </c>
      <c r="G338" s="82">
        <f t="shared" si="136"/>
        <v>9482133872</v>
      </c>
      <c r="H338" s="82">
        <f t="shared" si="136"/>
        <v>9956240565</v>
      </c>
      <c r="I338" s="82">
        <f t="shared" si="136"/>
        <v>10454052595</v>
      </c>
      <c r="J338" s="82">
        <f t="shared" si="136"/>
        <v>10976755226</v>
      </c>
      <c r="K338" s="86">
        <f t="shared" si="136"/>
        <v>11525592987</v>
      </c>
    </row>
    <row r="339" spans="1:11" ht="12" customHeight="1">
      <c r="A339" s="60" t="s">
        <v>210</v>
      </c>
      <c r="B339" s="114">
        <f aca="true" t="shared" si="137" ref="B339:K339">+B36+B84-B89-B108-B98-B118</f>
        <v>137573777</v>
      </c>
      <c r="C339" s="82">
        <f t="shared" si="137"/>
        <v>144452466</v>
      </c>
      <c r="D339" s="82">
        <f t="shared" si="137"/>
        <v>151675089</v>
      </c>
      <c r="E339" s="82">
        <f t="shared" si="137"/>
        <v>159258845</v>
      </c>
      <c r="F339" s="82">
        <f t="shared" si="137"/>
        <v>167221789</v>
      </c>
      <c r="G339" s="82">
        <f t="shared" si="137"/>
        <v>175582880</v>
      </c>
      <c r="H339" s="82">
        <f t="shared" si="137"/>
        <v>184362025</v>
      </c>
      <c r="I339" s="82">
        <f t="shared" si="137"/>
        <v>193580128</v>
      </c>
      <c r="J339" s="82">
        <f t="shared" si="137"/>
        <v>203259134</v>
      </c>
      <c r="K339" s="86">
        <f t="shared" si="137"/>
        <v>213422090</v>
      </c>
    </row>
    <row r="340" spans="1:11" ht="12" customHeight="1">
      <c r="A340" s="60" t="s">
        <v>211</v>
      </c>
      <c r="B340" s="114">
        <f>+B118</f>
        <v>100000000</v>
      </c>
      <c r="C340" s="82">
        <f aca="true" t="shared" si="138" ref="C340:K340">+C118</f>
        <v>105000000</v>
      </c>
      <c r="D340" s="82">
        <f t="shared" si="138"/>
        <v>110250000</v>
      </c>
      <c r="E340" s="82">
        <f t="shared" si="138"/>
        <v>115762500</v>
      </c>
      <c r="F340" s="82">
        <f t="shared" si="138"/>
        <v>121550625</v>
      </c>
      <c r="G340" s="82">
        <f t="shared" si="138"/>
        <v>127628156</v>
      </c>
      <c r="H340" s="82">
        <f t="shared" si="138"/>
        <v>134009564</v>
      </c>
      <c r="I340" s="82">
        <f t="shared" si="138"/>
        <v>140710042</v>
      </c>
      <c r="J340" s="82">
        <f t="shared" si="138"/>
        <v>147745544</v>
      </c>
      <c r="K340" s="86">
        <f t="shared" si="138"/>
        <v>155132821</v>
      </c>
    </row>
    <row r="341" spans="1:11" ht="12" customHeight="1">
      <c r="A341" s="60" t="s">
        <v>212</v>
      </c>
      <c r="B341" s="114">
        <f>+B109</f>
        <v>367734671</v>
      </c>
      <c r="C341" s="82">
        <f aca="true" t="shared" si="139" ref="C341:K341">+C108</f>
        <v>574163559</v>
      </c>
      <c r="D341" s="82">
        <f t="shared" si="139"/>
        <v>602871737</v>
      </c>
      <c r="E341" s="82">
        <f t="shared" si="139"/>
        <v>633015324</v>
      </c>
      <c r="F341" s="82">
        <f t="shared" si="139"/>
        <v>664666091</v>
      </c>
      <c r="G341" s="82">
        <f t="shared" si="139"/>
        <v>697899396</v>
      </c>
      <c r="H341" s="82">
        <f t="shared" si="139"/>
        <v>732794365</v>
      </c>
      <c r="I341" s="82">
        <f t="shared" si="139"/>
        <v>769434083</v>
      </c>
      <c r="J341" s="82">
        <f t="shared" si="139"/>
        <v>807905787</v>
      </c>
      <c r="K341" s="86">
        <f t="shared" si="139"/>
        <v>848301077</v>
      </c>
    </row>
    <row r="342" spans="1:11" ht="12" customHeight="1">
      <c r="A342" s="60" t="s">
        <v>213</v>
      </c>
      <c r="B342" s="114">
        <f>+B63</f>
        <v>25000000</v>
      </c>
      <c r="C342" s="82">
        <f aca="true" t="shared" si="140" ref="C342:K342">+C63</f>
        <v>26250000</v>
      </c>
      <c r="D342" s="82">
        <f t="shared" si="140"/>
        <v>27562500</v>
      </c>
      <c r="E342" s="82">
        <f t="shared" si="140"/>
        <v>28940625</v>
      </c>
      <c r="F342" s="82">
        <f t="shared" si="140"/>
        <v>30387656</v>
      </c>
      <c r="G342" s="82">
        <f t="shared" si="140"/>
        <v>31907039</v>
      </c>
      <c r="H342" s="82">
        <f t="shared" si="140"/>
        <v>33502391</v>
      </c>
      <c r="I342" s="82">
        <f t="shared" si="140"/>
        <v>35177511</v>
      </c>
      <c r="J342" s="82">
        <f t="shared" si="140"/>
        <v>36936387</v>
      </c>
      <c r="K342" s="86">
        <f t="shared" si="140"/>
        <v>38783206</v>
      </c>
    </row>
    <row r="343" spans="1:11" ht="12" customHeight="1">
      <c r="A343" s="60"/>
      <c r="B343" s="114"/>
      <c r="C343" s="64"/>
      <c r="D343" s="61"/>
      <c r="E343" s="64"/>
      <c r="F343" s="81"/>
      <c r="G343" s="65"/>
      <c r="H343" s="66"/>
      <c r="I343" s="66"/>
      <c r="J343" s="66"/>
      <c r="K343" s="84"/>
    </row>
    <row r="344" spans="1:11" ht="12" customHeight="1">
      <c r="A344" s="76" t="s">
        <v>214</v>
      </c>
      <c r="B344" s="115">
        <f>SUM(B338:B342)</f>
        <v>10316208890</v>
      </c>
      <c r="C344" s="83">
        <f aca="true" t="shared" si="141" ref="C344:K344">SUM(C338:C342)</f>
        <v>8650841025</v>
      </c>
      <c r="D344" s="83">
        <f t="shared" si="141"/>
        <v>9083383076</v>
      </c>
      <c r="E344" s="83">
        <f t="shared" si="141"/>
        <v>9537552232</v>
      </c>
      <c r="F344" s="83">
        <f t="shared" si="141"/>
        <v>10014429847</v>
      </c>
      <c r="G344" s="83">
        <f t="shared" si="141"/>
        <v>10515151343</v>
      </c>
      <c r="H344" s="83">
        <f t="shared" si="141"/>
        <v>11040908910</v>
      </c>
      <c r="I344" s="83">
        <f t="shared" si="141"/>
        <v>11592954359</v>
      </c>
      <c r="J344" s="83">
        <f t="shared" si="141"/>
        <v>12172602078</v>
      </c>
      <c r="K344" s="87">
        <f t="shared" si="141"/>
        <v>12781232181</v>
      </c>
    </row>
    <row r="345" spans="1:11" ht="12" customHeight="1">
      <c r="A345" s="60"/>
      <c r="B345" s="113"/>
      <c r="C345" s="64"/>
      <c r="D345" s="61"/>
      <c r="E345" s="64"/>
      <c r="F345" s="81"/>
      <c r="G345" s="65"/>
      <c r="H345" s="66"/>
      <c r="I345" s="66"/>
      <c r="J345" s="66"/>
      <c r="K345" s="66"/>
    </row>
    <row r="346" spans="1:11" ht="12" customHeight="1">
      <c r="A346" s="76" t="s">
        <v>215</v>
      </c>
      <c r="B346" s="113"/>
      <c r="C346" s="64"/>
      <c r="D346" s="61"/>
      <c r="E346" s="64"/>
      <c r="F346" s="81"/>
      <c r="G346" s="65"/>
      <c r="H346" s="66"/>
      <c r="I346" s="66"/>
      <c r="J346" s="66"/>
      <c r="K346" s="66"/>
    </row>
    <row r="347" spans="1:11" ht="12" customHeight="1">
      <c r="A347" s="60"/>
      <c r="B347" s="113"/>
      <c r="C347" s="64"/>
      <c r="D347" s="61"/>
      <c r="E347" s="64"/>
      <c r="F347" s="81"/>
      <c r="G347" s="65"/>
      <c r="H347" s="66"/>
      <c r="I347" s="66"/>
      <c r="J347" s="66"/>
      <c r="K347" s="66"/>
    </row>
    <row r="348" spans="1:11" ht="12" customHeight="1">
      <c r="A348" s="60" t="s">
        <v>224</v>
      </c>
      <c r="B348" s="114">
        <f>+B199</f>
        <v>223940200</v>
      </c>
      <c r="C348" s="82">
        <f aca="true" t="shared" si="142" ref="C348:K348">+C199</f>
        <v>225687210</v>
      </c>
      <c r="D348" s="82">
        <f t="shared" si="142"/>
        <v>236971571</v>
      </c>
      <c r="E348" s="82">
        <f t="shared" si="142"/>
        <v>248820149</v>
      </c>
      <c r="F348" s="82">
        <f t="shared" si="142"/>
        <v>261261157</v>
      </c>
      <c r="G348" s="82">
        <f t="shared" si="142"/>
        <v>274324214</v>
      </c>
      <c r="H348" s="82">
        <f t="shared" si="142"/>
        <v>288040425</v>
      </c>
      <c r="I348" s="82">
        <f t="shared" si="142"/>
        <v>302442446</v>
      </c>
      <c r="J348" s="82">
        <f t="shared" si="142"/>
        <v>317564569</v>
      </c>
      <c r="K348" s="71">
        <f t="shared" si="142"/>
        <v>333442797</v>
      </c>
    </row>
    <row r="349" spans="1:11" ht="12" customHeight="1">
      <c r="A349" s="60" t="s">
        <v>225</v>
      </c>
      <c r="B349" s="114">
        <f>+B204</f>
        <v>93744000</v>
      </c>
      <c r="C349" s="82">
        <f aca="true" t="shared" si="143" ref="C349:K349">+C204</f>
        <v>98431200</v>
      </c>
      <c r="D349" s="82">
        <f t="shared" si="143"/>
        <v>103352760</v>
      </c>
      <c r="E349" s="82">
        <f t="shared" si="143"/>
        <v>108520398</v>
      </c>
      <c r="F349" s="82">
        <f t="shared" si="143"/>
        <v>113946418</v>
      </c>
      <c r="G349" s="82">
        <f t="shared" si="143"/>
        <v>119643739</v>
      </c>
      <c r="H349" s="82">
        <f t="shared" si="143"/>
        <v>125625926</v>
      </c>
      <c r="I349" s="82">
        <f t="shared" si="143"/>
        <v>131907222</v>
      </c>
      <c r="J349" s="82">
        <f t="shared" si="143"/>
        <v>138502583</v>
      </c>
      <c r="K349" s="71">
        <f t="shared" si="143"/>
        <v>145427712</v>
      </c>
    </row>
    <row r="350" spans="1:11" ht="12" customHeight="1">
      <c r="A350" s="60" t="s">
        <v>226</v>
      </c>
      <c r="B350" s="114">
        <f>+B206</f>
        <v>2410559750.76</v>
      </c>
      <c r="C350" s="82">
        <f aca="true" t="shared" si="144" ref="C350:K350">+C206</f>
        <v>2531087738</v>
      </c>
      <c r="D350" s="82">
        <f t="shared" si="144"/>
        <v>2657642125</v>
      </c>
      <c r="E350" s="82">
        <f t="shared" si="144"/>
        <v>2790524232</v>
      </c>
      <c r="F350" s="82">
        <f t="shared" si="144"/>
        <v>2930050443</v>
      </c>
      <c r="G350" s="82">
        <f t="shared" si="144"/>
        <v>3076552965</v>
      </c>
      <c r="H350" s="82">
        <f t="shared" si="144"/>
        <v>3230380614</v>
      </c>
      <c r="I350" s="82">
        <f t="shared" si="144"/>
        <v>3391899645</v>
      </c>
      <c r="J350" s="82">
        <f t="shared" si="144"/>
        <v>3561494627</v>
      </c>
      <c r="K350" s="71">
        <f t="shared" si="144"/>
        <v>3739569358</v>
      </c>
    </row>
    <row r="351" spans="1:11" ht="12" customHeight="1">
      <c r="A351" s="76" t="s">
        <v>137</v>
      </c>
      <c r="B351" s="115">
        <f>+B348+B349+B350</f>
        <v>2728243950.76</v>
      </c>
      <c r="C351" s="83">
        <f aca="true" t="shared" si="145" ref="C351:K351">+C348+C349+C350</f>
        <v>2855206148</v>
      </c>
      <c r="D351" s="83">
        <f t="shared" si="145"/>
        <v>2997966456</v>
      </c>
      <c r="E351" s="83">
        <f t="shared" si="145"/>
        <v>3147864779</v>
      </c>
      <c r="F351" s="83">
        <f t="shared" si="145"/>
        <v>3305258018</v>
      </c>
      <c r="G351" s="83">
        <f t="shared" si="145"/>
        <v>3470520918</v>
      </c>
      <c r="H351" s="83">
        <f t="shared" si="145"/>
        <v>3644046965</v>
      </c>
      <c r="I351" s="83">
        <f t="shared" si="145"/>
        <v>3826249313</v>
      </c>
      <c r="J351" s="83">
        <f t="shared" si="145"/>
        <v>4017561779</v>
      </c>
      <c r="K351" s="88">
        <f t="shared" si="145"/>
        <v>4218439867</v>
      </c>
    </row>
    <row r="352" spans="1:11" ht="12" customHeight="1">
      <c r="A352" s="60"/>
      <c r="B352" s="113"/>
      <c r="C352" s="64"/>
      <c r="D352" s="61"/>
      <c r="E352" s="64"/>
      <c r="F352" s="81"/>
      <c r="G352" s="65"/>
      <c r="H352" s="66"/>
      <c r="I352" s="66"/>
      <c r="J352" s="66"/>
      <c r="K352" s="66"/>
    </row>
    <row r="353" spans="1:11" ht="12" customHeight="1">
      <c r="A353" s="76" t="s">
        <v>216</v>
      </c>
      <c r="B353" s="115">
        <f>+B344-B351</f>
        <v>7587964939.24</v>
      </c>
      <c r="C353" s="83">
        <f aca="true" t="shared" si="146" ref="C353:K353">+C344-C351</f>
        <v>5795634877</v>
      </c>
      <c r="D353" s="83">
        <f t="shared" si="146"/>
        <v>6085416620</v>
      </c>
      <c r="E353" s="83">
        <f t="shared" si="146"/>
        <v>6389687453</v>
      </c>
      <c r="F353" s="83">
        <f t="shared" si="146"/>
        <v>6709171829</v>
      </c>
      <c r="G353" s="83">
        <f t="shared" si="146"/>
        <v>7044630425</v>
      </c>
      <c r="H353" s="83">
        <f t="shared" si="146"/>
        <v>7396861945</v>
      </c>
      <c r="I353" s="83">
        <f t="shared" si="146"/>
        <v>7766705046</v>
      </c>
      <c r="J353" s="83">
        <f t="shared" si="146"/>
        <v>8155040299</v>
      </c>
      <c r="K353" s="88">
        <f t="shared" si="146"/>
        <v>8562792314</v>
      </c>
    </row>
    <row r="354" spans="1:11" ht="12" customHeight="1">
      <c r="A354" s="60"/>
      <c r="B354" s="113"/>
      <c r="C354" s="64"/>
      <c r="D354" s="61"/>
      <c r="E354" s="64"/>
      <c r="F354" s="81"/>
      <c r="G354" s="65"/>
      <c r="H354" s="66"/>
      <c r="I354" s="66"/>
      <c r="J354" s="66"/>
      <c r="K354" s="66"/>
    </row>
    <row r="355" spans="1:11" ht="12" customHeight="1">
      <c r="A355" s="76" t="s">
        <v>217</v>
      </c>
      <c r="B355" s="114">
        <f>+B215</f>
        <v>0</v>
      </c>
      <c r="C355" s="82">
        <f aca="true" t="shared" si="147" ref="C355:K355">+C215</f>
        <v>0</v>
      </c>
      <c r="D355" s="82">
        <f t="shared" si="147"/>
        <v>0</v>
      </c>
      <c r="E355" s="82">
        <f t="shared" si="147"/>
        <v>0</v>
      </c>
      <c r="F355" s="82">
        <f t="shared" si="147"/>
        <v>0</v>
      </c>
      <c r="G355" s="82">
        <f t="shared" si="147"/>
        <v>0</v>
      </c>
      <c r="H355" s="82">
        <f t="shared" si="147"/>
        <v>0</v>
      </c>
      <c r="I355" s="82">
        <f t="shared" si="147"/>
        <v>0</v>
      </c>
      <c r="J355" s="82">
        <f t="shared" si="147"/>
        <v>0</v>
      </c>
      <c r="K355" s="71">
        <f t="shared" si="147"/>
        <v>0</v>
      </c>
    </row>
    <row r="356" spans="1:11" ht="12" customHeight="1">
      <c r="A356" s="60"/>
      <c r="B356" s="113"/>
      <c r="C356" s="64"/>
      <c r="D356" s="61"/>
      <c r="E356" s="64"/>
      <c r="F356" s="81"/>
      <c r="G356" s="65"/>
      <c r="H356" s="66"/>
      <c r="I356" s="66"/>
      <c r="J356" s="66"/>
      <c r="K356" s="66"/>
    </row>
    <row r="357" spans="1:11" ht="12" customHeight="1">
      <c r="A357" s="76" t="s">
        <v>218</v>
      </c>
      <c r="B357" s="114">
        <v>0</v>
      </c>
      <c r="C357" s="82">
        <v>0</v>
      </c>
      <c r="D357" s="82">
        <v>0</v>
      </c>
      <c r="E357" s="82">
        <v>0</v>
      </c>
      <c r="F357" s="82">
        <v>0</v>
      </c>
      <c r="G357" s="82">
        <v>0</v>
      </c>
      <c r="H357" s="82">
        <v>0</v>
      </c>
      <c r="I357" s="82">
        <v>0</v>
      </c>
      <c r="J357" s="82">
        <v>0</v>
      </c>
      <c r="K357" s="82">
        <v>0</v>
      </c>
    </row>
    <row r="358" spans="1:11" ht="12" customHeight="1">
      <c r="A358" s="60"/>
      <c r="B358" s="113"/>
      <c r="C358" s="64"/>
      <c r="D358" s="61"/>
      <c r="E358" s="64"/>
      <c r="F358" s="81"/>
      <c r="G358" s="65"/>
      <c r="H358" s="66"/>
      <c r="I358" s="66"/>
      <c r="J358" s="66"/>
      <c r="K358" s="66"/>
    </row>
    <row r="359" spans="1:11" ht="12" customHeight="1">
      <c r="A359" s="76" t="s">
        <v>219</v>
      </c>
      <c r="B359" s="113"/>
      <c r="C359" s="64"/>
      <c r="D359" s="61"/>
      <c r="E359" s="64"/>
      <c r="F359" s="81"/>
      <c r="G359" s="65"/>
      <c r="H359" s="66"/>
      <c r="I359" s="66"/>
      <c r="J359" s="66"/>
      <c r="K359" s="66"/>
    </row>
    <row r="360" spans="1:11" ht="12" customHeight="1">
      <c r="A360" s="60" t="s">
        <v>220</v>
      </c>
      <c r="B360" s="113">
        <f>+ROUND(B355/B353*100,0)</f>
        <v>0</v>
      </c>
      <c r="C360" s="60">
        <f aca="true" t="shared" si="148" ref="C360:K360">+ROUND(C355/C353*100,0)</f>
        <v>0</v>
      </c>
      <c r="D360" s="60">
        <f t="shared" si="148"/>
        <v>0</v>
      </c>
      <c r="E360" s="60">
        <f t="shared" si="148"/>
        <v>0</v>
      </c>
      <c r="F360" s="60">
        <f t="shared" si="148"/>
        <v>0</v>
      </c>
      <c r="G360" s="60">
        <f t="shared" si="148"/>
        <v>0</v>
      </c>
      <c r="H360" s="60">
        <f t="shared" si="148"/>
        <v>0</v>
      </c>
      <c r="I360" s="60">
        <f t="shared" si="148"/>
        <v>0</v>
      </c>
      <c r="J360" s="60">
        <f t="shared" si="148"/>
        <v>0</v>
      </c>
      <c r="K360" s="64">
        <f t="shared" si="148"/>
        <v>0</v>
      </c>
    </row>
    <row r="361" spans="1:11" ht="12" customHeight="1">
      <c r="A361" s="60" t="s">
        <v>221</v>
      </c>
      <c r="B361" s="113">
        <f>+ROUND(B357/B344*100,0)</f>
        <v>0</v>
      </c>
      <c r="C361" s="60">
        <f aca="true" t="shared" si="149" ref="C361:K361">+ROUND(C357/C344*100,0)</f>
        <v>0</v>
      </c>
      <c r="D361" s="60">
        <f t="shared" si="149"/>
        <v>0</v>
      </c>
      <c r="E361" s="60">
        <f t="shared" si="149"/>
        <v>0</v>
      </c>
      <c r="F361" s="60">
        <f t="shared" si="149"/>
        <v>0</v>
      </c>
      <c r="G361" s="60">
        <f t="shared" si="149"/>
        <v>0</v>
      </c>
      <c r="H361" s="60">
        <f t="shared" si="149"/>
        <v>0</v>
      </c>
      <c r="I361" s="60">
        <f t="shared" si="149"/>
        <v>0</v>
      </c>
      <c r="J361" s="60">
        <f t="shared" si="149"/>
        <v>0</v>
      </c>
      <c r="K361" s="64">
        <f t="shared" si="149"/>
        <v>0</v>
      </c>
    </row>
    <row r="362" spans="1:11" ht="12" customHeight="1">
      <c r="A362" s="60" t="s">
        <v>222</v>
      </c>
      <c r="B362" s="113">
        <v>0</v>
      </c>
      <c r="C362" s="60">
        <v>0</v>
      </c>
      <c r="D362" s="60">
        <v>0</v>
      </c>
      <c r="E362" s="60">
        <v>0</v>
      </c>
      <c r="F362" s="60">
        <v>0</v>
      </c>
      <c r="G362" s="60">
        <v>0</v>
      </c>
      <c r="H362" s="60">
        <v>0</v>
      </c>
      <c r="I362" s="60">
        <v>0</v>
      </c>
      <c r="J362" s="60">
        <v>0</v>
      </c>
      <c r="K362" s="60">
        <v>0</v>
      </c>
    </row>
    <row r="363" spans="1:11" ht="12" customHeight="1">
      <c r="A363" s="77" t="s">
        <v>223</v>
      </c>
      <c r="B363" s="89" t="s">
        <v>227</v>
      </c>
      <c r="C363" s="89" t="s">
        <v>227</v>
      </c>
      <c r="D363" s="90" t="s">
        <v>227</v>
      </c>
      <c r="E363" s="89" t="s">
        <v>227</v>
      </c>
      <c r="F363" s="91" t="s">
        <v>227</v>
      </c>
      <c r="G363" s="91" t="s">
        <v>227</v>
      </c>
      <c r="H363" s="91" t="s">
        <v>227</v>
      </c>
      <c r="I363" s="91" t="s">
        <v>227</v>
      </c>
      <c r="J363" s="91" t="s">
        <v>227</v>
      </c>
      <c r="K363" s="91" t="s">
        <v>227</v>
      </c>
    </row>
    <row r="364" spans="1:11" ht="12" customHeight="1">
      <c r="A364" s="63"/>
      <c r="B364" s="92"/>
      <c r="C364" s="92"/>
      <c r="D364" s="93"/>
      <c r="E364" s="92"/>
      <c r="F364" s="94"/>
      <c r="G364" s="95"/>
      <c r="H364" s="96"/>
      <c r="I364" s="96"/>
      <c r="J364" s="96"/>
      <c r="K364" s="96"/>
    </row>
  </sheetData>
  <sheetProtection/>
  <mergeCells count="38">
    <mergeCell ref="A333:K333"/>
    <mergeCell ref="A334:K334"/>
    <mergeCell ref="A300:K300"/>
    <mergeCell ref="J266:J267"/>
    <mergeCell ref="H266:H267"/>
    <mergeCell ref="C266:C267"/>
    <mergeCell ref="D266:D267"/>
    <mergeCell ref="E266:E267"/>
    <mergeCell ref="K266:K267"/>
    <mergeCell ref="I266:I267"/>
    <mergeCell ref="I226:I227"/>
    <mergeCell ref="J226:J227"/>
    <mergeCell ref="J195:J196"/>
    <mergeCell ref="D226:D227"/>
    <mergeCell ref="E226:E227"/>
    <mergeCell ref="F226:F227"/>
    <mergeCell ref="G226:G227"/>
    <mergeCell ref="H226:H227"/>
    <mergeCell ref="A5:K5"/>
    <mergeCell ref="A10:K10"/>
    <mergeCell ref="A70:K70"/>
    <mergeCell ref="A193:K193"/>
    <mergeCell ref="J242:J243"/>
    <mergeCell ref="K226:K227"/>
    <mergeCell ref="B226:B227"/>
    <mergeCell ref="C226:C227"/>
    <mergeCell ref="K195:K196"/>
    <mergeCell ref="A6:K6"/>
    <mergeCell ref="A4:K4"/>
    <mergeCell ref="A266:A267"/>
    <mergeCell ref="A195:A196"/>
    <mergeCell ref="A226:A227"/>
    <mergeCell ref="A232:A233"/>
    <mergeCell ref="A242:A243"/>
    <mergeCell ref="K242:K243"/>
    <mergeCell ref="F266:F267"/>
    <mergeCell ref="B266:B267"/>
    <mergeCell ref="G266:G267"/>
  </mergeCells>
  <printOptions/>
  <pageMargins left="1.69" right="0.1968503937007874" top="1.16" bottom="0.68" header="0.3937007874015748" footer="0"/>
  <pageSetup horizontalDpi="300" verticalDpi="300" orientation="landscape" paperSize="5" scale="70" r:id="rId3"/>
  <headerFooter alignWithMargins="0">
    <oddHeader>&amp;R&amp;"Arial,Normal"&amp;8&amp;P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3"/>
  <sheetViews>
    <sheetView zoomScalePageLayoutView="0" workbookViewId="0" topLeftCell="A2">
      <selection activeCell="A1" sqref="A1:IV1"/>
    </sheetView>
  </sheetViews>
  <sheetFormatPr defaultColWidth="14.8515625" defaultRowHeight="12.75"/>
  <cols>
    <col min="1" max="1" width="33.00390625" style="335" customWidth="1"/>
    <col min="2" max="2" width="63.57421875" style="335" customWidth="1"/>
    <col min="3" max="3" width="16.57421875" style="335" hidden="1" customWidth="1"/>
    <col min="4" max="4" width="21.421875" style="11" customWidth="1"/>
    <col min="5" max="5" width="14.8515625" style="11" customWidth="1"/>
    <col min="6" max="16384" width="14.8515625" style="335" customWidth="1"/>
  </cols>
  <sheetData>
    <row r="1" ht="12.75" hidden="1">
      <c r="A1" s="335">
        <v>6</v>
      </c>
    </row>
    <row r="3" spans="1:5" s="345" customFormat="1" ht="15.75">
      <c r="A3" s="342" t="s">
        <v>241</v>
      </c>
      <c r="B3" s="386" t="s">
        <v>680</v>
      </c>
      <c r="C3" s="386"/>
      <c r="D3" s="386"/>
      <c r="E3" s="344"/>
    </row>
    <row r="4" spans="2:5" s="345" customFormat="1" ht="15.75">
      <c r="B4" s="386"/>
      <c r="C4" s="386"/>
      <c r="D4" s="386"/>
      <c r="E4" s="344"/>
    </row>
    <row r="5" spans="2:5" s="345" customFormat="1" ht="15.75">
      <c r="B5" s="343"/>
      <c r="C5" s="346"/>
      <c r="D5" s="344"/>
      <c r="E5" s="344"/>
    </row>
    <row r="6" spans="1:5" s="345" customFormat="1" ht="15.75">
      <c r="A6" s="347"/>
      <c r="B6" s="348" t="s">
        <v>97</v>
      </c>
      <c r="C6" s="349">
        <f>+C9</f>
        <v>1552544402</v>
      </c>
      <c r="D6" s="349">
        <f>+D9</f>
        <v>1731337750.76</v>
      </c>
      <c r="E6" s="344"/>
    </row>
    <row r="7" spans="1:5" s="345" customFormat="1" ht="15.75">
      <c r="A7" s="347"/>
      <c r="B7" s="348"/>
      <c r="C7" s="349"/>
      <c r="D7" s="349"/>
      <c r="E7" s="344"/>
    </row>
    <row r="8" spans="1:5" s="345" customFormat="1" ht="15">
      <c r="A8" s="350"/>
      <c r="B8" s="351"/>
      <c r="C8" s="344"/>
      <c r="D8" s="344"/>
      <c r="E8" s="344"/>
    </row>
    <row r="9" spans="1:5" s="342" customFormat="1" ht="15.75">
      <c r="A9" s="347"/>
      <c r="B9" s="348" t="s">
        <v>98</v>
      </c>
      <c r="C9" s="349">
        <f>+C11+C24+C29+C32+C60</f>
        <v>1552544402</v>
      </c>
      <c r="D9" s="349">
        <f>+D11+D24+D29+D32+D60</f>
        <v>1731337750.76</v>
      </c>
      <c r="E9" s="349"/>
    </row>
    <row r="10" spans="1:5" s="334" customFormat="1" ht="12.75">
      <c r="A10" s="336"/>
      <c r="B10" s="337"/>
      <c r="C10" s="12"/>
      <c r="D10" s="12"/>
      <c r="E10" s="12"/>
    </row>
    <row r="11" spans="1:5" s="342" customFormat="1" ht="15.75">
      <c r="A11" s="347"/>
      <c r="B11" s="348" t="s">
        <v>99</v>
      </c>
      <c r="C11" s="349">
        <f>+SUM(C12:C22)</f>
        <v>1037164402</v>
      </c>
      <c r="D11" s="349">
        <f>+SUM(D12:D22)</f>
        <v>1119212521.76</v>
      </c>
      <c r="E11" s="349"/>
    </row>
    <row r="12" spans="1:4" ht="12.75">
      <c r="A12" s="338"/>
      <c r="B12" s="339" t="s">
        <v>100</v>
      </c>
      <c r="C12" s="11">
        <v>660790000</v>
      </c>
      <c r="D12" s="11">
        <v>762323642.88</v>
      </c>
    </row>
    <row r="13" spans="1:4" ht="12.75">
      <c r="A13" s="338"/>
      <c r="B13" s="339" t="s">
        <v>101</v>
      </c>
      <c r="C13" s="11">
        <v>26040000</v>
      </c>
      <c r="D13" s="11">
        <v>39977688</v>
      </c>
    </row>
    <row r="14" spans="1:4" ht="12.75">
      <c r="A14" s="338"/>
      <c r="B14" s="339" t="s">
        <v>102</v>
      </c>
      <c r="C14" s="11">
        <v>36753000</v>
      </c>
      <c r="D14" s="11">
        <v>28272235.2</v>
      </c>
    </row>
    <row r="15" spans="1:4" ht="12.75">
      <c r="A15" s="338"/>
      <c r="B15" s="339" t="s">
        <v>103</v>
      </c>
      <c r="C15" s="11">
        <v>58978000</v>
      </c>
      <c r="D15" s="11">
        <v>74200000</v>
      </c>
    </row>
    <row r="16" spans="1:4" ht="12.75">
      <c r="A16" s="338"/>
      <c r="B16" s="339" t="s">
        <v>104</v>
      </c>
      <c r="C16" s="11">
        <v>26135000</v>
      </c>
      <c r="D16" s="11">
        <v>26135000</v>
      </c>
    </row>
    <row r="17" spans="1:4" ht="12.75">
      <c r="A17" s="338"/>
      <c r="B17" s="339" t="s">
        <v>105</v>
      </c>
      <c r="C17" s="11">
        <v>8000000</v>
      </c>
      <c r="D17" s="11">
        <v>24000000</v>
      </c>
    </row>
    <row r="18" spans="1:4" ht="12.75">
      <c r="A18" s="338"/>
      <c r="B18" s="339" t="s">
        <v>106</v>
      </c>
      <c r="C18" s="11">
        <v>28355000</v>
      </c>
      <c r="D18" s="11">
        <v>30056300</v>
      </c>
    </row>
    <row r="19" spans="1:4" ht="12.75">
      <c r="A19" s="338"/>
      <c r="B19" s="339" t="s">
        <v>107</v>
      </c>
      <c r="C19" s="11">
        <v>20113402</v>
      </c>
      <c r="D19" s="11">
        <v>29247655.68</v>
      </c>
    </row>
    <row r="20" spans="1:4" ht="12.75">
      <c r="A20" s="338"/>
      <c r="B20" s="339" t="s">
        <v>111</v>
      </c>
      <c r="C20" s="11">
        <v>67000000</v>
      </c>
      <c r="D20" s="11">
        <v>65000000</v>
      </c>
    </row>
    <row r="21" spans="1:4" ht="12.75">
      <c r="A21" s="338"/>
      <c r="B21" s="339" t="s">
        <v>667</v>
      </c>
      <c r="C21" s="11">
        <v>5000000</v>
      </c>
      <c r="D21" s="11">
        <v>5000000</v>
      </c>
    </row>
    <row r="22" spans="1:4" ht="12.75">
      <c r="A22" s="338"/>
      <c r="B22" s="339" t="s">
        <v>233</v>
      </c>
      <c r="C22" s="340">
        <v>100000000</v>
      </c>
      <c r="D22" s="11">
        <v>35000000</v>
      </c>
    </row>
    <row r="23" spans="1:3" ht="12.75">
      <c r="A23" s="338"/>
      <c r="B23" s="339"/>
      <c r="C23" s="11"/>
    </row>
    <row r="24" spans="1:4" ht="12.75">
      <c r="A24" s="338"/>
      <c r="B24" s="339" t="s">
        <v>108</v>
      </c>
      <c r="C24" s="11">
        <f>+C25+C26+C27</f>
        <v>121000000</v>
      </c>
      <c r="D24" s="11">
        <f>+D25+D26+D27</f>
        <v>144400000</v>
      </c>
    </row>
    <row r="25" spans="1:4" ht="12.75">
      <c r="A25" s="338"/>
      <c r="B25" s="339" t="s">
        <v>232</v>
      </c>
      <c r="C25" s="11">
        <v>46000000</v>
      </c>
      <c r="D25" s="11">
        <v>40000000</v>
      </c>
    </row>
    <row r="26" spans="1:4" ht="12.75">
      <c r="A26" s="338"/>
      <c r="B26" s="339" t="s">
        <v>109</v>
      </c>
      <c r="C26" s="11">
        <v>70000000</v>
      </c>
      <c r="D26" s="11">
        <v>98400000</v>
      </c>
    </row>
    <row r="27" spans="1:4" ht="12.75">
      <c r="A27" s="338"/>
      <c r="B27" s="339" t="s">
        <v>110</v>
      </c>
      <c r="C27" s="11">
        <v>5000000</v>
      </c>
      <c r="D27" s="11">
        <v>6000000</v>
      </c>
    </row>
    <row r="28" spans="1:3" ht="12.75">
      <c r="A28" s="338"/>
      <c r="B28" s="339"/>
      <c r="C28" s="11"/>
    </row>
    <row r="29" spans="1:4" ht="12.75">
      <c r="A29" s="338"/>
      <c r="B29" s="339" t="s">
        <v>108</v>
      </c>
      <c r="C29" s="11">
        <f>+C30</f>
        <v>2000000</v>
      </c>
      <c r="D29" s="11">
        <f>+D30</f>
        <v>3000000</v>
      </c>
    </row>
    <row r="30" spans="1:4" ht="12.75">
      <c r="A30" s="338"/>
      <c r="B30" s="339" t="s">
        <v>112</v>
      </c>
      <c r="C30" s="11">
        <v>2000000</v>
      </c>
      <c r="D30" s="11">
        <v>3000000</v>
      </c>
    </row>
    <row r="31" spans="1:4" ht="12.75">
      <c r="A31" s="338"/>
      <c r="B31" s="339"/>
      <c r="C31" s="11"/>
      <c r="D31" s="11">
        <f>+ROUND(C31*(100+$A$1)%,0)</f>
        <v>0</v>
      </c>
    </row>
    <row r="32" spans="1:5" s="342" customFormat="1" ht="15.75">
      <c r="A32" s="347"/>
      <c r="B32" s="348" t="s">
        <v>113</v>
      </c>
      <c r="C32" s="349">
        <f>+C34+C48</f>
        <v>305092000</v>
      </c>
      <c r="D32" s="349">
        <f>+D34+D48</f>
        <v>372199949</v>
      </c>
      <c r="E32" s="349"/>
    </row>
    <row r="33" spans="1:5" s="342" customFormat="1" ht="15.75">
      <c r="A33" s="347"/>
      <c r="B33" s="348"/>
      <c r="C33" s="349"/>
      <c r="D33" s="349"/>
      <c r="E33" s="349"/>
    </row>
    <row r="34" spans="1:5" s="334" customFormat="1" ht="12.75">
      <c r="A34" s="336"/>
      <c r="B34" s="387" t="s">
        <v>114</v>
      </c>
      <c r="C34" s="12">
        <f>+C36+C40</f>
        <v>176525000</v>
      </c>
      <c r="D34" s="12">
        <f>+D36+D40</f>
        <v>167101000</v>
      </c>
      <c r="E34" s="12"/>
    </row>
    <row r="35" spans="1:3" ht="12.75">
      <c r="A35" s="338"/>
      <c r="B35" s="387"/>
      <c r="C35" s="11"/>
    </row>
    <row r="36" spans="1:5" s="334" customFormat="1" ht="12.75">
      <c r="A36" s="336"/>
      <c r="B36" s="337" t="s">
        <v>115</v>
      </c>
      <c r="C36" s="12">
        <f>+C37+C38</f>
        <v>95775000</v>
      </c>
      <c r="D36" s="12">
        <f>+D37+D38</f>
        <v>51678000</v>
      </c>
      <c r="E36" s="12"/>
    </row>
    <row r="37" spans="1:4" ht="12.75">
      <c r="A37" s="338"/>
      <c r="B37" s="339" t="s">
        <v>116</v>
      </c>
      <c r="C37" s="11">
        <v>57830000</v>
      </c>
      <c r="D37" s="11">
        <v>51678000</v>
      </c>
    </row>
    <row r="38" spans="1:4" ht="12.75">
      <c r="A38" s="338"/>
      <c r="B38" s="339" t="s">
        <v>117</v>
      </c>
      <c r="C38" s="11">
        <v>37945000</v>
      </c>
      <c r="D38" s="11">
        <v>0</v>
      </c>
    </row>
    <row r="39" spans="1:3" ht="12.75">
      <c r="A39" s="338"/>
      <c r="B39" s="339"/>
      <c r="C39" s="11"/>
    </row>
    <row r="40" spans="1:5" s="334" customFormat="1" ht="12.75">
      <c r="A40" s="336"/>
      <c r="B40" s="337" t="s">
        <v>118</v>
      </c>
      <c r="C40" s="12">
        <f>+SUM(C41:C45)</f>
        <v>80750000</v>
      </c>
      <c r="D40" s="12">
        <f>+SUM(D41:D45)</f>
        <v>115423000</v>
      </c>
      <c r="E40" s="12"/>
    </row>
    <row r="41" spans="1:4" ht="12.75">
      <c r="A41" s="338"/>
      <c r="B41" s="339" t="s">
        <v>119</v>
      </c>
      <c r="C41" s="11">
        <v>4390000</v>
      </c>
      <c r="D41" s="11">
        <v>42750000</v>
      </c>
    </row>
    <row r="42" spans="1:4" ht="12.75">
      <c r="A42" s="338"/>
      <c r="B42" s="339" t="s">
        <v>120</v>
      </c>
      <c r="C42" s="11">
        <v>26310000</v>
      </c>
      <c r="D42" s="11">
        <v>25647000</v>
      </c>
    </row>
    <row r="43" spans="1:4" ht="12.75">
      <c r="A43" s="338"/>
      <c r="B43" s="339" t="s">
        <v>121</v>
      </c>
      <c r="C43" s="11">
        <v>36890000</v>
      </c>
      <c r="D43" s="11">
        <v>34207000</v>
      </c>
    </row>
    <row r="44" spans="1:4" ht="12.75">
      <c r="A44" s="338"/>
      <c r="B44" s="339" t="s">
        <v>122</v>
      </c>
      <c r="C44" s="11">
        <v>4390000</v>
      </c>
      <c r="D44" s="11">
        <v>4275000</v>
      </c>
    </row>
    <row r="45" spans="1:4" ht="12.75">
      <c r="A45" s="338"/>
      <c r="B45" s="339" t="s">
        <v>123</v>
      </c>
      <c r="C45" s="11">
        <v>8770000</v>
      </c>
      <c r="D45" s="11">
        <v>8544000</v>
      </c>
    </row>
    <row r="46" spans="1:3" ht="12.75">
      <c r="A46" s="338"/>
      <c r="B46" s="339"/>
      <c r="C46" s="11"/>
    </row>
    <row r="47" spans="1:3" ht="12.75">
      <c r="A47" s="338"/>
      <c r="B47" s="339"/>
      <c r="C47" s="11"/>
    </row>
    <row r="48" spans="1:5" s="334" customFormat="1" ht="12.75">
      <c r="A48" s="336"/>
      <c r="B48" s="387" t="s">
        <v>124</v>
      </c>
      <c r="C48" s="12">
        <f>+SUM(C50:C55)</f>
        <v>128567000</v>
      </c>
      <c r="D48" s="12">
        <f>+SUM(D50:D55)</f>
        <v>205098949</v>
      </c>
      <c r="E48" s="12"/>
    </row>
    <row r="49" spans="1:5" s="334" customFormat="1" ht="12.75">
      <c r="A49" s="336"/>
      <c r="B49" s="387"/>
      <c r="C49" s="12"/>
      <c r="D49" s="12"/>
      <c r="E49" s="12"/>
    </row>
    <row r="50" spans="1:4" ht="12.75">
      <c r="A50" s="338"/>
      <c r="B50" s="339" t="s">
        <v>125</v>
      </c>
      <c r="C50" s="11">
        <v>60950000</v>
      </c>
      <c r="D50" s="11">
        <v>76021621</v>
      </c>
    </row>
    <row r="51" spans="1:4" ht="12.75">
      <c r="A51" s="338"/>
      <c r="B51" s="339" t="s">
        <v>126</v>
      </c>
      <c r="C51" s="11">
        <f>81060000-C37</f>
        <v>23230000</v>
      </c>
      <c r="D51" s="11">
        <v>42083000</v>
      </c>
    </row>
    <row r="52" spans="1:4" ht="12.75">
      <c r="A52" s="338"/>
      <c r="B52" s="339" t="s">
        <v>127</v>
      </c>
      <c r="C52" s="11">
        <f>70965000-C38</f>
        <v>33020000</v>
      </c>
      <c r="D52" s="11">
        <v>73408328</v>
      </c>
    </row>
    <row r="53" spans="1:4" ht="12.75">
      <c r="A53" s="338"/>
      <c r="B53" s="339" t="s">
        <v>128</v>
      </c>
      <c r="C53" s="11">
        <v>4053000</v>
      </c>
      <c r="D53" s="11">
        <v>4463000</v>
      </c>
    </row>
    <row r="54" spans="1:4" ht="12.75">
      <c r="A54" s="338"/>
      <c r="B54" s="339" t="s">
        <v>129</v>
      </c>
      <c r="C54" s="11">
        <v>0</v>
      </c>
      <c r="D54" s="11">
        <f>+ROUND(C54*(100+$A$1)%,0)</f>
        <v>0</v>
      </c>
    </row>
    <row r="55" spans="1:4" ht="12.75">
      <c r="A55" s="338"/>
      <c r="B55" s="339" t="s">
        <v>130</v>
      </c>
      <c r="C55" s="11">
        <v>7314000</v>
      </c>
      <c r="D55" s="11">
        <v>9123000</v>
      </c>
    </row>
    <row r="56" spans="1:3" ht="12.75">
      <c r="A56" s="338"/>
      <c r="B56" s="339"/>
      <c r="C56" s="11"/>
    </row>
    <row r="57" spans="1:5" s="334" customFormat="1" ht="12.75">
      <c r="A57" s="336"/>
      <c r="B57" s="337" t="s">
        <v>136</v>
      </c>
      <c r="C57" s="12">
        <f>+'GASTOS GENERALES'!C37</f>
        <v>635300000</v>
      </c>
      <c r="D57" s="11"/>
      <c r="E57" s="11"/>
    </row>
    <row r="58" spans="1:3" ht="12.75">
      <c r="A58" s="338"/>
      <c r="B58" s="339"/>
      <c r="C58" s="12"/>
    </row>
    <row r="59" spans="1:3" ht="12.75">
      <c r="A59" s="338"/>
      <c r="B59" s="339"/>
      <c r="C59" s="11"/>
    </row>
    <row r="60" spans="1:5" s="342" customFormat="1" ht="15.75">
      <c r="A60" s="347"/>
      <c r="B60" s="348" t="s">
        <v>53</v>
      </c>
      <c r="C60" s="349">
        <f>+C61</f>
        <v>87288000</v>
      </c>
      <c r="D60" s="349">
        <f>+D61</f>
        <v>92525280</v>
      </c>
      <c r="E60" s="349"/>
    </row>
    <row r="61" spans="1:5" s="334" customFormat="1" ht="12.75">
      <c r="A61" s="336"/>
      <c r="B61" s="337" t="s">
        <v>131</v>
      </c>
      <c r="C61" s="12">
        <f>+SUM(C62:C64)</f>
        <v>87288000</v>
      </c>
      <c r="D61" s="12">
        <f>+ROUND(C61*(100+$A$1)%,0)</f>
        <v>92525280</v>
      </c>
      <c r="E61" s="12"/>
    </row>
    <row r="62" spans="1:4" ht="12.75">
      <c r="A62" s="338"/>
      <c r="B62" s="339" t="s">
        <v>132</v>
      </c>
      <c r="C62" s="11">
        <f>2274000*12</f>
        <v>27288000</v>
      </c>
      <c r="D62" s="11">
        <v>29942155</v>
      </c>
    </row>
    <row r="63" spans="1:4" ht="12.75">
      <c r="A63" s="338"/>
      <c r="B63" s="339" t="s">
        <v>133</v>
      </c>
      <c r="C63" s="11">
        <v>30000000</v>
      </c>
      <c r="D63" s="11">
        <v>30000000</v>
      </c>
    </row>
    <row r="64" spans="1:4" ht="12.75">
      <c r="A64" s="338"/>
      <c r="B64" s="339" t="s">
        <v>134</v>
      </c>
      <c r="C64" s="11">
        <v>30000000</v>
      </c>
      <c r="D64" s="11">
        <v>30000000</v>
      </c>
    </row>
    <row r="65" spans="1:5" ht="12.75">
      <c r="A65" s="338"/>
      <c r="B65" s="339"/>
      <c r="C65" s="11"/>
      <c r="E65" s="12"/>
    </row>
    <row r="66" ht="12.75">
      <c r="C66" s="11"/>
    </row>
    <row r="67" ht="12.75">
      <c r="C67" s="11"/>
    </row>
    <row r="68" spans="2:5" s="345" customFormat="1" ht="15.75">
      <c r="B68" s="342" t="s">
        <v>137</v>
      </c>
      <c r="C68" s="349">
        <f>+C6</f>
        <v>1552544402</v>
      </c>
      <c r="D68" s="349">
        <f>+D6</f>
        <v>1731337750.76</v>
      </c>
      <c r="E68" s="344"/>
    </row>
    <row r="112" spans="2:3" ht="12.75">
      <c r="B112" s="334" t="s">
        <v>138</v>
      </c>
      <c r="C112" s="334"/>
    </row>
    <row r="114" spans="2:4" ht="12.75">
      <c r="B114" s="335" t="s">
        <v>139</v>
      </c>
      <c r="D114" s="11">
        <v>14890000</v>
      </c>
    </row>
    <row r="115" spans="2:4" ht="12.75">
      <c r="B115" s="335" t="s">
        <v>140</v>
      </c>
      <c r="D115" s="11">
        <v>0</v>
      </c>
    </row>
    <row r="116" spans="2:4" ht="12.75">
      <c r="B116" s="335" t="s">
        <v>141</v>
      </c>
      <c r="D116" s="11">
        <v>0</v>
      </c>
    </row>
    <row r="117" spans="2:4" ht="12.75">
      <c r="B117" s="335" t="s">
        <v>142</v>
      </c>
      <c r="D117" s="11">
        <v>657500</v>
      </c>
    </row>
    <row r="118" spans="2:4" ht="12.75">
      <c r="B118" s="335" t="s">
        <v>143</v>
      </c>
      <c r="D118" s="11">
        <v>0</v>
      </c>
    </row>
    <row r="119" spans="2:4" ht="12.75">
      <c r="B119" s="335" t="s">
        <v>144</v>
      </c>
      <c r="D119" s="11">
        <v>384000</v>
      </c>
    </row>
    <row r="120" spans="2:4" ht="12.75">
      <c r="B120" s="335" t="s">
        <v>145</v>
      </c>
      <c r="D120" s="11">
        <v>1325000</v>
      </c>
    </row>
    <row r="121" spans="2:4" ht="12.75">
      <c r="B121" s="335" t="s">
        <v>146</v>
      </c>
      <c r="D121" s="11">
        <v>1436000</v>
      </c>
    </row>
    <row r="122" spans="2:4" ht="12.75">
      <c r="B122" s="335" t="s">
        <v>160</v>
      </c>
      <c r="D122" s="11">
        <v>173000</v>
      </c>
    </row>
    <row r="123" ht="12.75">
      <c r="B123" s="335" t="s">
        <v>147</v>
      </c>
    </row>
    <row r="124" spans="2:4" ht="12.75">
      <c r="B124" s="335" t="s">
        <v>148</v>
      </c>
      <c r="D124" s="11">
        <f>148800*12</f>
        <v>1785600</v>
      </c>
    </row>
    <row r="125" spans="2:4" ht="12.75">
      <c r="B125" s="335" t="s">
        <v>149</v>
      </c>
      <c r="D125" s="11">
        <f>103000*12</f>
        <v>1236000</v>
      </c>
    </row>
    <row r="126" spans="2:4" ht="12.75">
      <c r="B126" s="335" t="s">
        <v>150</v>
      </c>
      <c r="D126" s="11">
        <v>0</v>
      </c>
    </row>
    <row r="127" spans="2:4" ht="12.75">
      <c r="B127" s="335" t="s">
        <v>151</v>
      </c>
      <c r="D127" s="11">
        <f>6500*12</f>
        <v>78000</v>
      </c>
    </row>
    <row r="128" spans="2:4" ht="12.75">
      <c r="B128" s="335" t="s">
        <v>152</v>
      </c>
      <c r="D128" s="11">
        <f>49600*12</f>
        <v>595200</v>
      </c>
    </row>
    <row r="129" spans="2:4" ht="12.75">
      <c r="B129" s="335" t="s">
        <v>153</v>
      </c>
      <c r="D129" s="11">
        <f>37200*12</f>
        <v>446400</v>
      </c>
    </row>
    <row r="130" spans="2:4" ht="12.75">
      <c r="B130" s="335" t="s">
        <v>154</v>
      </c>
      <c r="D130" s="11">
        <f>6200*12</f>
        <v>74400</v>
      </c>
    </row>
    <row r="131" spans="2:4" ht="12.75">
      <c r="B131" s="335" t="s">
        <v>155</v>
      </c>
      <c r="D131" s="11">
        <f>6200*12</f>
        <v>74400</v>
      </c>
    </row>
    <row r="132" spans="2:4" ht="12.75">
      <c r="B132" s="335" t="s">
        <v>156</v>
      </c>
      <c r="D132" s="341">
        <f>12400*12</f>
        <v>148800</v>
      </c>
    </row>
    <row r="133" spans="2:4" ht="12.75">
      <c r="B133" s="334" t="s">
        <v>158</v>
      </c>
      <c r="C133" s="334"/>
      <c r="D133" s="12">
        <f>SUM(D114:D132)</f>
        <v>23304300</v>
      </c>
    </row>
    <row r="137" spans="2:3" ht="12.75">
      <c r="B137" s="334" t="s">
        <v>157</v>
      </c>
      <c r="C137" s="334"/>
    </row>
    <row r="139" spans="2:4" ht="12.75">
      <c r="B139" s="335" t="s">
        <v>139</v>
      </c>
      <c r="D139" s="11">
        <v>29780000</v>
      </c>
    </row>
    <row r="140" spans="2:4" ht="12.75">
      <c r="B140" s="335" t="s">
        <v>140</v>
      </c>
      <c r="D140" s="11">
        <v>0</v>
      </c>
    </row>
    <row r="141" spans="2:4" ht="12.75">
      <c r="B141" s="335" t="s">
        <v>141</v>
      </c>
      <c r="D141" s="11">
        <v>0</v>
      </c>
    </row>
    <row r="142" spans="2:4" ht="12.75">
      <c r="B142" s="335" t="s">
        <v>142</v>
      </c>
      <c r="D142" s="11">
        <v>1315000</v>
      </c>
    </row>
    <row r="143" spans="2:4" ht="12.75">
      <c r="B143" s="335" t="s">
        <v>143</v>
      </c>
      <c r="D143" s="11">
        <v>0</v>
      </c>
    </row>
    <row r="144" spans="2:4" ht="12.75">
      <c r="B144" s="335" t="s">
        <v>144</v>
      </c>
      <c r="D144" s="11">
        <v>768000</v>
      </c>
    </row>
    <row r="145" spans="2:4" ht="12.75">
      <c r="B145" s="335" t="s">
        <v>145</v>
      </c>
      <c r="D145" s="11">
        <v>2650000</v>
      </c>
    </row>
    <row r="146" spans="2:4" ht="12.75">
      <c r="B146" s="335" t="s">
        <v>146</v>
      </c>
      <c r="D146" s="11">
        <v>2872000</v>
      </c>
    </row>
    <row r="147" spans="2:4" ht="12.75">
      <c r="B147" s="335" t="s">
        <v>161</v>
      </c>
      <c r="D147" s="11">
        <v>346000</v>
      </c>
    </row>
    <row r="148" ht="12.75">
      <c r="B148" s="335" t="s">
        <v>147</v>
      </c>
    </row>
    <row r="149" spans="2:4" ht="12.75">
      <c r="B149" s="335" t="s">
        <v>148</v>
      </c>
      <c r="D149" s="11">
        <v>1785600</v>
      </c>
    </row>
    <row r="150" spans="2:4" ht="12.75">
      <c r="B150" s="335" t="s">
        <v>149</v>
      </c>
      <c r="D150" s="11">
        <v>2472000</v>
      </c>
    </row>
    <row r="151" spans="2:4" ht="12.75">
      <c r="B151" s="335" t="s">
        <v>150</v>
      </c>
      <c r="D151" s="11">
        <v>1785600</v>
      </c>
    </row>
    <row r="152" spans="2:4" ht="12.75">
      <c r="B152" s="335" t="s">
        <v>151</v>
      </c>
      <c r="D152" s="11">
        <v>156000</v>
      </c>
    </row>
    <row r="153" spans="2:4" ht="12.75">
      <c r="B153" s="335" t="s">
        <v>152</v>
      </c>
      <c r="D153" s="11">
        <v>1190400</v>
      </c>
    </row>
    <row r="154" spans="2:4" ht="12.75">
      <c r="B154" s="335" t="s">
        <v>153</v>
      </c>
      <c r="D154" s="11">
        <v>892800</v>
      </c>
    </row>
    <row r="155" spans="2:4" ht="12.75">
      <c r="B155" s="335" t="s">
        <v>154</v>
      </c>
      <c r="D155" s="11">
        <v>148800</v>
      </c>
    </row>
    <row r="156" spans="2:4" ht="12.75">
      <c r="B156" s="335" t="s">
        <v>155</v>
      </c>
      <c r="D156" s="11">
        <v>148800</v>
      </c>
    </row>
    <row r="157" spans="2:4" ht="12.75">
      <c r="B157" s="335" t="s">
        <v>156</v>
      </c>
      <c r="D157" s="341">
        <v>297600</v>
      </c>
    </row>
    <row r="158" spans="2:4" ht="12.75">
      <c r="B158" s="334" t="s">
        <v>159</v>
      </c>
      <c r="C158" s="334"/>
      <c r="D158" s="12">
        <f>SUM(D139:D157)</f>
        <v>46608600</v>
      </c>
    </row>
    <row r="163" spans="2:4" ht="12.75">
      <c r="B163" s="334" t="s">
        <v>237</v>
      </c>
      <c r="C163" s="334"/>
      <c r="D163" s="12">
        <f>+D158+D133</f>
        <v>69912900</v>
      </c>
    </row>
  </sheetData>
  <sheetProtection/>
  <mergeCells count="4">
    <mergeCell ref="B3:D3"/>
    <mergeCell ref="B34:B35"/>
    <mergeCell ref="B48:B49"/>
    <mergeCell ref="B4:D4"/>
  </mergeCells>
  <printOptions/>
  <pageMargins left="1.93" right="0.7874015748031497" top="1.57" bottom="0.93" header="0" footer="0"/>
  <pageSetup horizontalDpi="300" verticalDpi="300" orientation="landscape" paperSize="5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zoomScale="80" zoomScaleNormal="80" zoomScalePageLayoutView="0" workbookViewId="0" topLeftCell="A2">
      <selection activeCell="B38" sqref="B38"/>
    </sheetView>
  </sheetViews>
  <sheetFormatPr defaultColWidth="37.00390625" defaultRowHeight="12.75"/>
  <cols>
    <col min="1" max="1" width="26.140625" style="344" customWidth="1"/>
    <col min="2" max="2" width="53.00390625" style="344" customWidth="1"/>
    <col min="3" max="3" width="37.00390625" style="344" hidden="1" customWidth="1"/>
    <col min="4" max="4" width="48.7109375" style="344" customWidth="1"/>
    <col min="5" max="16384" width="37.00390625" style="344" customWidth="1"/>
  </cols>
  <sheetData>
    <row r="1" ht="15" hidden="1">
      <c r="A1" s="344">
        <v>6</v>
      </c>
    </row>
    <row r="2" ht="10.5" customHeight="1"/>
    <row r="3" spans="1:3" s="354" customFormat="1" ht="18">
      <c r="A3" s="353" t="s">
        <v>681</v>
      </c>
      <c r="B3" s="353" t="s">
        <v>682</v>
      </c>
      <c r="C3" s="353"/>
    </row>
    <row r="5" spans="1:4" ht="15">
      <c r="A5" s="350"/>
      <c r="B5" s="351" t="s">
        <v>71</v>
      </c>
      <c r="C5" s="344">
        <v>28000000</v>
      </c>
      <c r="D5" s="344">
        <f>+ROUND(C5*(100+$A$1)%,0)</f>
        <v>29680000</v>
      </c>
    </row>
    <row r="6" spans="1:4" ht="15">
      <c r="A6" s="350"/>
      <c r="B6" s="351" t="s">
        <v>72</v>
      </c>
      <c r="C6" s="344">
        <v>62000000</v>
      </c>
      <c r="D6" s="344">
        <f aca="true" t="shared" si="0" ref="D6:D34">+ROUND(C6*(100+$A$1)%,0)</f>
        <v>65720000</v>
      </c>
    </row>
    <row r="7" spans="1:4" ht="15">
      <c r="A7" s="350"/>
      <c r="B7" s="351" t="s">
        <v>73</v>
      </c>
      <c r="C7" s="344">
        <v>30000000</v>
      </c>
      <c r="D7" s="344">
        <f>+ROUND(C7*(100+$A$1)%,0)+10000000</f>
        <v>41800000</v>
      </c>
    </row>
    <row r="8" spans="1:4" ht="15">
      <c r="A8" s="350"/>
      <c r="B8" s="351" t="s">
        <v>74</v>
      </c>
      <c r="C8" s="344">
        <v>15000000</v>
      </c>
      <c r="D8" s="344">
        <f t="shared" si="0"/>
        <v>15900000</v>
      </c>
    </row>
    <row r="9" spans="1:4" ht="15">
      <c r="A9" s="350"/>
      <c r="B9" s="351" t="s">
        <v>75</v>
      </c>
      <c r="C9" s="344">
        <v>15000000</v>
      </c>
      <c r="D9" s="344">
        <v>20000000</v>
      </c>
    </row>
    <row r="10" spans="1:4" ht="15">
      <c r="A10" s="350"/>
      <c r="B10" s="351" t="s">
        <v>76</v>
      </c>
      <c r="C10" s="344">
        <v>24000000</v>
      </c>
      <c r="D10" s="344">
        <v>20000000</v>
      </c>
    </row>
    <row r="11" spans="1:4" ht="15">
      <c r="A11" s="350"/>
      <c r="B11" s="351" t="s">
        <v>77</v>
      </c>
      <c r="C11" s="344">
        <v>5000000</v>
      </c>
      <c r="D11" s="344">
        <v>8000000</v>
      </c>
    </row>
    <row r="12" spans="1:4" ht="15">
      <c r="A12" s="350"/>
      <c r="B12" s="351" t="s">
        <v>78</v>
      </c>
      <c r="C12" s="344">
        <v>15000000</v>
      </c>
      <c r="D12" s="344">
        <v>20000000</v>
      </c>
    </row>
    <row r="13" spans="1:4" ht="15">
      <c r="A13" s="350"/>
      <c r="B13" s="351" t="s">
        <v>79</v>
      </c>
      <c r="C13" s="344">
        <v>5000000</v>
      </c>
      <c r="D13" s="344">
        <f t="shared" si="0"/>
        <v>5300000</v>
      </c>
    </row>
    <row r="14" spans="1:4" ht="15">
      <c r="A14" s="350"/>
      <c r="B14" s="351" t="s">
        <v>80</v>
      </c>
      <c r="C14" s="344">
        <v>3700000</v>
      </c>
      <c r="D14" s="344">
        <f t="shared" si="0"/>
        <v>3922000</v>
      </c>
    </row>
    <row r="15" spans="1:4" ht="15">
      <c r="A15" s="350"/>
      <c r="B15" s="351" t="s">
        <v>81</v>
      </c>
      <c r="C15" s="344">
        <v>25000000</v>
      </c>
      <c r="D15" s="344">
        <f t="shared" si="0"/>
        <v>26500000</v>
      </c>
    </row>
    <row r="16" spans="1:4" ht="15">
      <c r="A16" s="350"/>
      <c r="B16" s="351" t="s">
        <v>234</v>
      </c>
      <c r="C16" s="344">
        <v>15000000</v>
      </c>
      <c r="D16" s="344">
        <f t="shared" si="0"/>
        <v>15900000</v>
      </c>
    </row>
    <row r="17" spans="1:4" ht="15">
      <c r="A17" s="350"/>
      <c r="B17" s="351" t="s">
        <v>82</v>
      </c>
      <c r="C17" s="344">
        <v>70000000</v>
      </c>
      <c r="D17" s="344">
        <f t="shared" si="0"/>
        <v>74200000</v>
      </c>
    </row>
    <row r="18" spans="1:4" ht="12.75" customHeight="1">
      <c r="A18" s="350"/>
      <c r="B18" s="352" t="s">
        <v>83</v>
      </c>
      <c r="C18" s="344">
        <v>80000000</v>
      </c>
      <c r="D18" s="344">
        <f t="shared" si="0"/>
        <v>84800000</v>
      </c>
    </row>
    <row r="19" spans="1:4" ht="15">
      <c r="A19" s="350"/>
      <c r="B19" s="351" t="s">
        <v>84</v>
      </c>
      <c r="C19" s="344">
        <v>8000000</v>
      </c>
      <c r="D19" s="344">
        <f t="shared" si="0"/>
        <v>8480000</v>
      </c>
    </row>
    <row r="20" spans="1:4" ht="15">
      <c r="A20" s="350"/>
      <c r="B20" s="351" t="s">
        <v>135</v>
      </c>
      <c r="C20" s="344">
        <v>25000000</v>
      </c>
      <c r="D20" s="344">
        <f t="shared" si="0"/>
        <v>26500000</v>
      </c>
    </row>
    <row r="21" spans="1:4" ht="15">
      <c r="A21" s="350"/>
      <c r="B21" s="351" t="s">
        <v>85</v>
      </c>
      <c r="C21" s="344">
        <v>40000000</v>
      </c>
      <c r="D21" s="344">
        <f t="shared" si="0"/>
        <v>42400000</v>
      </c>
    </row>
    <row r="22" spans="1:4" ht="15">
      <c r="A22" s="350"/>
      <c r="B22" s="351" t="s">
        <v>86</v>
      </c>
      <c r="C22" s="344">
        <v>2000000</v>
      </c>
      <c r="D22" s="344">
        <v>3000000</v>
      </c>
    </row>
    <row r="23" spans="1:4" ht="15">
      <c r="A23" s="350"/>
      <c r="B23" s="351" t="s">
        <v>87</v>
      </c>
      <c r="C23" s="344">
        <v>43000000</v>
      </c>
      <c r="D23" s="344">
        <f t="shared" si="0"/>
        <v>45580000</v>
      </c>
    </row>
    <row r="24" spans="1:4" ht="15" hidden="1">
      <c r="A24" s="350"/>
      <c r="B24" s="351" t="s">
        <v>88</v>
      </c>
      <c r="C24" s="344">
        <v>0</v>
      </c>
      <c r="D24" s="344">
        <f t="shared" si="0"/>
        <v>0</v>
      </c>
    </row>
    <row r="25" spans="1:4" ht="15">
      <c r="A25" s="350"/>
      <c r="B25" s="351" t="s">
        <v>89</v>
      </c>
      <c r="C25" s="344">
        <v>15000000</v>
      </c>
      <c r="D25" s="344">
        <v>5000000</v>
      </c>
    </row>
    <row r="26" spans="1:4" ht="15">
      <c r="A26" s="350"/>
      <c r="B26" s="351" t="s">
        <v>90</v>
      </c>
      <c r="C26" s="344">
        <v>48000000</v>
      </c>
      <c r="D26" s="344">
        <f t="shared" si="0"/>
        <v>50880000</v>
      </c>
    </row>
    <row r="27" spans="1:4" ht="15">
      <c r="A27" s="350"/>
      <c r="B27" s="351" t="s">
        <v>16</v>
      </c>
      <c r="C27" s="344">
        <v>8000000</v>
      </c>
      <c r="D27" s="344">
        <f t="shared" si="0"/>
        <v>8480000</v>
      </c>
    </row>
    <row r="28" spans="1:4" ht="15">
      <c r="A28" s="350"/>
      <c r="B28" s="351" t="s">
        <v>92</v>
      </c>
      <c r="C28" s="344">
        <v>20000000</v>
      </c>
      <c r="D28" s="344">
        <f t="shared" si="0"/>
        <v>21200000</v>
      </c>
    </row>
    <row r="29" spans="1:4" ht="15">
      <c r="A29" s="350"/>
      <c r="B29" s="351" t="s">
        <v>659</v>
      </c>
      <c r="C29" s="344">
        <v>4000000</v>
      </c>
      <c r="D29" s="344">
        <f t="shared" si="0"/>
        <v>4240000</v>
      </c>
    </row>
    <row r="30" spans="1:4" ht="15">
      <c r="A30" s="350"/>
      <c r="B30" s="351" t="s">
        <v>93</v>
      </c>
      <c r="C30" s="344">
        <v>5000000</v>
      </c>
      <c r="D30" s="344">
        <f t="shared" si="0"/>
        <v>5300000</v>
      </c>
    </row>
    <row r="31" spans="1:4" ht="15">
      <c r="A31" s="350"/>
      <c r="B31" s="351" t="s">
        <v>94</v>
      </c>
      <c r="C31" s="344">
        <v>4000000</v>
      </c>
      <c r="D31" s="344">
        <f t="shared" si="0"/>
        <v>4240000</v>
      </c>
    </row>
    <row r="32" spans="1:4" ht="15">
      <c r="A32" s="350"/>
      <c r="B32" s="351" t="s">
        <v>95</v>
      </c>
      <c r="C32" s="344">
        <v>10000000</v>
      </c>
      <c r="D32" s="344">
        <f t="shared" si="0"/>
        <v>10600000</v>
      </c>
    </row>
    <row r="33" spans="1:4" ht="15">
      <c r="A33" s="350"/>
      <c r="B33" s="351" t="s">
        <v>236</v>
      </c>
      <c r="C33" s="344">
        <v>5000000</v>
      </c>
      <c r="D33" s="344">
        <f t="shared" si="0"/>
        <v>5300000</v>
      </c>
    </row>
    <row r="34" spans="1:4" ht="15">
      <c r="A34" s="350"/>
      <c r="B34" s="351" t="s">
        <v>162</v>
      </c>
      <c r="C34" s="344">
        <v>5000000</v>
      </c>
      <c r="D34" s="344">
        <f t="shared" si="0"/>
        <v>5300000</v>
      </c>
    </row>
    <row r="35" spans="1:4" ht="15">
      <c r="A35" s="350"/>
      <c r="B35" s="351" t="s">
        <v>235</v>
      </c>
      <c r="C35" s="344">
        <v>600000</v>
      </c>
      <c r="D35" s="344">
        <v>1000000</v>
      </c>
    </row>
    <row r="37" spans="2:4" ht="15.75">
      <c r="B37" s="349" t="s">
        <v>96</v>
      </c>
      <c r="C37" s="349">
        <f>SUM(C5:C35)</f>
        <v>635300000</v>
      </c>
      <c r="D37" s="349">
        <f>SUM(D5:D35)</f>
        <v>679222000</v>
      </c>
    </row>
    <row r="44" ht="15.75">
      <c r="B44" s="349"/>
    </row>
    <row r="45" ht="15.75">
      <c r="B45" s="349"/>
    </row>
  </sheetData>
  <sheetProtection/>
  <printOptions/>
  <pageMargins left="2.35" right="0.7874015748031497" top="1.36" bottom="0.7874015748031497" header="0" footer="0"/>
  <pageSetup horizontalDpi="300" verticalDpi="300" orientation="landscape" paperSize="5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C14" sqref="C14"/>
    </sheetView>
  </sheetViews>
  <sheetFormatPr defaultColWidth="11.421875" defaultRowHeight="19.5" customHeight="1"/>
  <cols>
    <col min="1" max="1" width="64.28125" style="308" customWidth="1"/>
    <col min="2" max="2" width="28.140625" style="319" customWidth="1"/>
    <col min="3" max="3" width="23.28125" style="308" customWidth="1"/>
    <col min="4" max="4" width="24.421875" style="308" customWidth="1"/>
    <col min="5" max="5" width="14.7109375" style="308" bestFit="1" customWidth="1"/>
    <col min="6" max="6" width="19.28125" style="308" customWidth="1"/>
    <col min="7" max="16384" width="11.421875" style="308" customWidth="1"/>
  </cols>
  <sheetData>
    <row r="1" spans="1:2" s="320" customFormat="1" ht="19.5" customHeight="1">
      <c r="A1" s="388" t="s">
        <v>658</v>
      </c>
      <c r="B1" s="388"/>
    </row>
    <row r="2" spans="1:2" s="320" customFormat="1" ht="19.5" customHeight="1">
      <c r="A2" s="388" t="s">
        <v>231</v>
      </c>
      <c r="B2" s="388"/>
    </row>
    <row r="3" spans="1:2" ht="19.5" customHeight="1">
      <c r="A3" s="389"/>
      <c r="B3" s="389"/>
    </row>
    <row r="4" spans="1:2" ht="19.5" customHeight="1">
      <c r="A4" s="309"/>
      <c r="B4" s="309"/>
    </row>
    <row r="5" spans="1:4" ht="26.25" customHeight="1">
      <c r="A5" s="309"/>
      <c r="B5" s="310"/>
      <c r="C5" s="311"/>
      <c r="D5" s="311"/>
    </row>
    <row r="6" spans="1:4" ht="19.5" customHeight="1">
      <c r="A6" s="312" t="s">
        <v>1</v>
      </c>
      <c r="B6" s="313"/>
      <c r="C6" s="311"/>
      <c r="D6" s="314">
        <f>+B7+C21</f>
        <v>7917800000</v>
      </c>
    </row>
    <row r="7" spans="1:4" ht="19.5" customHeight="1">
      <c r="A7" s="315" t="s">
        <v>2</v>
      </c>
      <c r="B7" s="314">
        <f>+C8+C13</f>
        <v>7803500000</v>
      </c>
      <c r="C7" s="311"/>
      <c r="D7" s="311"/>
    </row>
    <row r="8" spans="1:4" ht="19.5" customHeight="1">
      <c r="A8" s="315" t="s">
        <v>3</v>
      </c>
      <c r="B8" s="313"/>
      <c r="C8" s="314">
        <f>+B9+B11</f>
        <v>1042400000</v>
      </c>
      <c r="D8" s="311"/>
    </row>
    <row r="9" spans="1:4" ht="19.5" customHeight="1">
      <c r="A9" s="315" t="s">
        <v>4</v>
      </c>
      <c r="B9" s="313">
        <f>'MARCO FISCAL'!B16</f>
        <v>1000000000</v>
      </c>
      <c r="C9" s="311"/>
      <c r="D9" s="311"/>
    </row>
    <row r="10" spans="1:4" ht="19.5" customHeight="1">
      <c r="A10" s="315"/>
      <c r="B10" s="313"/>
      <c r="C10" s="311"/>
      <c r="D10" s="311"/>
    </row>
    <row r="11" spans="1:4" ht="19.5" customHeight="1">
      <c r="A11" s="315" t="s">
        <v>5</v>
      </c>
      <c r="B11" s="313">
        <f>'MARCO FISCAL'!B17</f>
        <v>42400000</v>
      </c>
      <c r="C11" s="311"/>
      <c r="D11" s="311"/>
    </row>
    <row r="12" spans="1:4" ht="19.5" customHeight="1">
      <c r="A12" s="315"/>
      <c r="B12" s="313"/>
      <c r="C12" s="311"/>
      <c r="D12" s="311"/>
    </row>
    <row r="13" spans="1:4" ht="19.5" customHeight="1">
      <c r="A13" s="312" t="s">
        <v>6</v>
      </c>
      <c r="B13" s="313"/>
      <c r="C13" s="314">
        <f>SUM(B14:B20)</f>
        <v>6761100000</v>
      </c>
      <c r="D13" s="311"/>
    </row>
    <row r="14" spans="1:4" ht="19.5" customHeight="1">
      <c r="A14" s="315" t="s">
        <v>7</v>
      </c>
      <c r="B14" s="313">
        <f>'MARCO FISCAL'!B20</f>
        <v>5200000000</v>
      </c>
      <c r="C14" s="311"/>
      <c r="D14" s="311"/>
    </row>
    <row r="15" spans="1:4" ht="19.5" customHeight="1">
      <c r="A15" s="315" t="s">
        <v>8</v>
      </c>
      <c r="B15" s="313">
        <f>'MARCO FISCAL'!B21</f>
        <v>600000000</v>
      </c>
      <c r="C15" s="311"/>
      <c r="D15" s="311"/>
    </row>
    <row r="16" spans="1:4" ht="19.5" customHeight="1">
      <c r="A16" s="315" t="s">
        <v>39</v>
      </c>
      <c r="B16" s="313">
        <f>'MARCO FISCAL'!B22</f>
        <v>780000000</v>
      </c>
      <c r="C16" s="311"/>
      <c r="D16" s="311"/>
    </row>
    <row r="17" spans="1:4" ht="19.5" customHeight="1">
      <c r="A17" s="311" t="s">
        <v>40</v>
      </c>
      <c r="B17" s="313">
        <f>'MARCO FISCAL'!B23</f>
        <v>1000000</v>
      </c>
      <c r="C17" s="311"/>
      <c r="D17" s="311"/>
    </row>
    <row r="18" spans="1:4" ht="19.5" customHeight="1">
      <c r="A18" s="315" t="s">
        <v>10</v>
      </c>
      <c r="B18" s="313">
        <f>'MARCO FISCAL'!B24</f>
        <v>50000000</v>
      </c>
      <c r="C18" s="311"/>
      <c r="D18" s="311"/>
    </row>
    <row r="19" spans="1:4" ht="19.5" customHeight="1">
      <c r="A19" s="315" t="s">
        <v>41</v>
      </c>
      <c r="B19" s="313">
        <f>'MARCO FISCAL'!B25</f>
        <v>100000</v>
      </c>
      <c r="C19" s="311"/>
      <c r="D19" s="311"/>
    </row>
    <row r="20" spans="1:4" ht="19.5" customHeight="1">
      <c r="A20" s="315" t="s">
        <v>13</v>
      </c>
      <c r="B20" s="313">
        <f>'MARCO FISCAL'!B26</f>
        <v>130000000</v>
      </c>
      <c r="C20" s="311"/>
      <c r="D20" s="311"/>
    </row>
    <row r="21" spans="1:4" ht="19.5" customHeight="1">
      <c r="A21" s="312" t="s">
        <v>11</v>
      </c>
      <c r="B21" s="311"/>
      <c r="C21" s="314">
        <f>+B22+B25+B29+B32+B34+B36+B37+B40</f>
        <v>114300000</v>
      </c>
      <c r="D21" s="311"/>
    </row>
    <row r="22" spans="1:4" ht="19.5" customHeight="1">
      <c r="A22" s="312" t="s">
        <v>43</v>
      </c>
      <c r="B22" s="314">
        <f>+B23+B24</f>
        <v>20100000</v>
      </c>
      <c r="C22" s="311"/>
      <c r="D22" s="311"/>
    </row>
    <row r="23" spans="1:4" ht="19.5" customHeight="1">
      <c r="A23" s="315" t="s">
        <v>12</v>
      </c>
      <c r="B23" s="313">
        <f>'MARCO FISCAL'!B38</f>
        <v>20000000</v>
      </c>
      <c r="C23" s="311"/>
      <c r="D23" s="311"/>
    </row>
    <row r="24" spans="1:4" ht="19.5" customHeight="1">
      <c r="A24" s="315" t="s">
        <v>9</v>
      </c>
      <c r="B24" s="313">
        <f>'MARCO FISCAL'!B39</f>
        <v>100000</v>
      </c>
      <c r="C24" s="311"/>
      <c r="D24" s="311"/>
    </row>
    <row r="25" spans="1:4" ht="19.5" customHeight="1">
      <c r="A25" s="312" t="s">
        <v>44</v>
      </c>
      <c r="B25" s="314">
        <f>+B26</f>
        <v>200000</v>
      </c>
      <c r="C25" s="311"/>
      <c r="D25" s="311"/>
    </row>
    <row r="26" spans="1:4" ht="19.5" customHeight="1">
      <c r="A26" s="315" t="s">
        <v>45</v>
      </c>
      <c r="B26" s="313">
        <f>+B27+B28</f>
        <v>200000</v>
      </c>
      <c r="C26" s="311"/>
      <c r="D26" s="311"/>
    </row>
    <row r="27" spans="1:4" ht="19.5" customHeight="1">
      <c r="A27" s="315" t="s">
        <v>46</v>
      </c>
      <c r="B27" s="313">
        <f>'MARCO FISCAL'!B42</f>
        <v>100000</v>
      </c>
      <c r="C27" s="311"/>
      <c r="D27" s="311"/>
    </row>
    <row r="28" spans="1:4" ht="19.5" customHeight="1">
      <c r="A28" s="315" t="s">
        <v>47</v>
      </c>
      <c r="B28" s="313">
        <f>'MARCO FISCAL'!B43</f>
        <v>100000</v>
      </c>
      <c r="C28" s="311"/>
      <c r="D28" s="311"/>
    </row>
    <row r="29" spans="1:4" ht="19.5" customHeight="1">
      <c r="A29" s="312" t="s">
        <v>48</v>
      </c>
      <c r="B29" s="314">
        <f>+B30+B31</f>
        <v>18000000</v>
      </c>
      <c r="C29" s="311"/>
      <c r="D29" s="311"/>
    </row>
    <row r="30" spans="1:4" ht="19.5" customHeight="1">
      <c r="A30" s="315" t="s">
        <v>49</v>
      </c>
      <c r="B30" s="313">
        <f>'MARCO FISCAL'!B45</f>
        <v>8000000</v>
      </c>
      <c r="C30" s="311"/>
      <c r="D30" s="311"/>
    </row>
    <row r="31" spans="1:4" ht="19.5" customHeight="1">
      <c r="A31" s="315" t="s">
        <v>50</v>
      </c>
      <c r="B31" s="313">
        <f>'MARCO FISCAL'!B46</f>
        <v>10000000</v>
      </c>
      <c r="C31" s="311"/>
      <c r="D31" s="311"/>
    </row>
    <row r="32" spans="1:4" ht="19.5" customHeight="1">
      <c r="A32" s="312" t="s">
        <v>51</v>
      </c>
      <c r="B32" s="314">
        <f>+B33</f>
        <v>50000000</v>
      </c>
      <c r="C32" s="311"/>
      <c r="D32" s="311"/>
    </row>
    <row r="33" spans="1:4" ht="19.5" customHeight="1">
      <c r="A33" s="315" t="s">
        <v>228</v>
      </c>
      <c r="B33" s="313">
        <f>'MARCO FISCAL'!B48</f>
        <v>50000000</v>
      </c>
      <c r="C33" s="311"/>
      <c r="D33" s="311"/>
    </row>
    <row r="34" spans="1:4" ht="19.5" customHeight="1">
      <c r="A34" s="316" t="s">
        <v>52</v>
      </c>
      <c r="B34" s="314">
        <f>+B35</f>
        <v>0</v>
      </c>
      <c r="C34" s="311"/>
      <c r="D34" s="311"/>
    </row>
    <row r="35" spans="1:4" ht="19.5" customHeight="1">
      <c r="A35" s="315" t="s">
        <v>657</v>
      </c>
      <c r="B35" s="313">
        <f>'MARCO FISCAL'!B50</f>
        <v>0</v>
      </c>
      <c r="C35" s="311"/>
      <c r="D35" s="311"/>
    </row>
    <row r="36" spans="1:4" ht="19.5" customHeight="1">
      <c r="A36" s="312" t="s">
        <v>14</v>
      </c>
      <c r="B36" s="314">
        <f>'MARCO FISCAL'!B51</f>
        <v>10000000</v>
      </c>
      <c r="C36" s="311"/>
      <c r="D36" s="311"/>
    </row>
    <row r="37" spans="1:4" ht="19.5" customHeight="1">
      <c r="A37" s="315" t="s">
        <v>15</v>
      </c>
      <c r="B37" s="314">
        <f>+B38+B39</f>
        <v>12000000</v>
      </c>
      <c r="C37" s="311"/>
      <c r="D37" s="311"/>
    </row>
    <row r="38" spans="1:4" ht="19.5" customHeight="1">
      <c r="A38" s="315" t="s">
        <v>16</v>
      </c>
      <c r="B38" s="313">
        <f>'MARCO FISCAL'!B54</f>
        <v>6000000</v>
      </c>
      <c r="C38" s="311"/>
      <c r="D38" s="311"/>
    </row>
    <row r="39" spans="1:4" ht="19.5" customHeight="1">
      <c r="A39" s="315" t="s">
        <v>91</v>
      </c>
      <c r="B39" s="313">
        <f>'MARCO FISCAL'!B55</f>
        <v>6000000</v>
      </c>
      <c r="C39" s="311"/>
      <c r="D39" s="311"/>
    </row>
    <row r="40" spans="1:4" ht="19.5" customHeight="1">
      <c r="A40" s="312" t="s">
        <v>54</v>
      </c>
      <c r="B40" s="314">
        <f>+B41</f>
        <v>4000000</v>
      </c>
      <c r="C40" s="311"/>
      <c r="D40" s="311"/>
    </row>
    <row r="41" spans="1:4" ht="19.5" customHeight="1">
      <c r="A41" s="312" t="s">
        <v>55</v>
      </c>
      <c r="B41" s="314">
        <f>+B42</f>
        <v>4000000</v>
      </c>
      <c r="C41" s="311"/>
      <c r="D41" s="311"/>
    </row>
    <row r="42" spans="1:4" ht="19.5" customHeight="1">
      <c r="A42" s="315" t="s">
        <v>24</v>
      </c>
      <c r="B42" s="313">
        <f>'MARCO FISCAL'!B58</f>
        <v>4000000</v>
      </c>
      <c r="C42" s="317"/>
      <c r="D42" s="311"/>
    </row>
    <row r="43" spans="1:4" ht="19.5" customHeight="1">
      <c r="A43" s="315"/>
      <c r="B43" s="313"/>
      <c r="C43" s="311"/>
      <c r="D43" s="311"/>
    </row>
    <row r="44" spans="1:4" ht="30" customHeight="1" thickBot="1">
      <c r="A44" s="312" t="s">
        <v>64</v>
      </c>
      <c r="B44" s="311"/>
      <c r="C44" s="311"/>
      <c r="D44" s="318">
        <f>+D6</f>
        <v>7917800000</v>
      </c>
    </row>
    <row r="45" spans="1:4" ht="30" customHeight="1" thickTop="1">
      <c r="A45" s="312"/>
      <c r="B45" s="311"/>
      <c r="C45" s="311"/>
      <c r="D45" s="314"/>
    </row>
  </sheetData>
  <sheetProtection/>
  <mergeCells count="3">
    <mergeCell ref="A1:B1"/>
    <mergeCell ref="A2:B2"/>
    <mergeCell ref="A3:B3"/>
  </mergeCells>
  <printOptions/>
  <pageMargins left="2.45" right="0.1968503937007874" top="1.25" bottom="0.77" header="0.3937007874015748" footer="0"/>
  <pageSetup horizontalDpi="300" verticalDpi="300" orientation="landscape" paperSize="5" scale="70" r:id="rId1"/>
  <headerFooter alignWithMargins="0">
    <oddHeader>&amp;R&amp;"Arial,Normal"&amp;8&amp;P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2:K360"/>
  <sheetViews>
    <sheetView zoomScale="80" zoomScaleNormal="80" zoomScalePageLayoutView="0" workbookViewId="0" topLeftCell="A4">
      <selection activeCell="F35" sqref="F35"/>
    </sheetView>
  </sheetViews>
  <sheetFormatPr defaultColWidth="11.421875" defaultRowHeight="12.75"/>
  <cols>
    <col min="1" max="1" width="8.8515625" style="225" customWidth="1"/>
    <col min="2" max="2" width="45.140625" style="225" customWidth="1"/>
    <col min="3" max="3" width="22.28125" style="225" customWidth="1"/>
    <col min="4" max="4" width="9.00390625" style="225" customWidth="1"/>
    <col min="5" max="5" width="11.421875" style="225" customWidth="1"/>
    <col min="6" max="6" width="16.8515625" style="225" customWidth="1"/>
    <col min="7" max="7" width="24.28125" style="225" customWidth="1"/>
    <col min="8" max="8" width="28.28125" style="225" customWidth="1"/>
    <col min="9" max="9" width="21.140625" style="225" customWidth="1"/>
    <col min="10" max="10" width="26.28125" style="225" customWidth="1"/>
    <col min="11" max="16384" width="11.421875" style="225" customWidth="1"/>
  </cols>
  <sheetData>
    <row r="1" ht="12.75"/>
    <row r="2" spans="1:8" ht="18">
      <c r="A2" s="405" t="s">
        <v>298</v>
      </c>
      <c r="B2" s="405"/>
      <c r="C2" s="405"/>
      <c r="D2" s="405"/>
      <c r="E2" s="405"/>
      <c r="F2" s="405"/>
      <c r="G2" s="405"/>
      <c r="H2" s="405"/>
    </row>
    <row r="3" spans="1:8" ht="12.75">
      <c r="A3" s="406" t="s">
        <v>299</v>
      </c>
      <c r="B3" s="406"/>
      <c r="C3" s="406"/>
      <c r="D3" s="406"/>
      <c r="E3" s="406"/>
      <c r="F3" s="406"/>
      <c r="G3" s="406"/>
      <c r="H3" s="406"/>
    </row>
    <row r="4" spans="1:8" ht="12.75">
      <c r="A4" s="247"/>
      <c r="B4" s="247"/>
      <c r="C4" s="247"/>
      <c r="D4" s="247"/>
      <c r="E4" s="247"/>
      <c r="F4" s="247"/>
      <c r="G4" s="247"/>
      <c r="H4" s="247"/>
    </row>
    <row r="5" spans="1:8" ht="12.75">
      <c r="A5" s="407" t="s">
        <v>636</v>
      </c>
      <c r="B5" s="407"/>
      <c r="C5" s="407"/>
      <c r="D5" s="407"/>
      <c r="E5" s="407"/>
      <c r="F5" s="407"/>
      <c r="G5" s="407"/>
      <c r="H5" s="407"/>
    </row>
    <row r="6" spans="1:8" ht="28.5" customHeight="1">
      <c r="A6" s="407"/>
      <c r="B6" s="407"/>
      <c r="C6" s="407"/>
      <c r="D6" s="407"/>
      <c r="E6" s="407"/>
      <c r="F6" s="407"/>
      <c r="G6" s="407"/>
      <c r="H6" s="407"/>
    </row>
    <row r="7" spans="1:8" ht="12.75">
      <c r="A7" s="248"/>
      <c r="B7" s="248"/>
      <c r="C7" s="248"/>
      <c r="D7" s="248"/>
      <c r="E7" s="248"/>
      <c r="F7" s="248"/>
      <c r="G7" s="248"/>
      <c r="H7" s="248"/>
    </row>
    <row r="8" spans="1:8" ht="18">
      <c r="A8" s="405" t="s">
        <v>300</v>
      </c>
      <c r="B8" s="405"/>
      <c r="C8" s="405"/>
      <c r="D8" s="405"/>
      <c r="E8" s="405"/>
      <c r="F8" s="405"/>
      <c r="G8" s="405"/>
      <c r="H8" s="405"/>
    </row>
    <row r="9" spans="1:8" ht="14.25">
      <c r="A9" s="408" t="s">
        <v>301</v>
      </c>
      <c r="B9" s="408"/>
      <c r="C9" s="408"/>
      <c r="D9" s="408"/>
      <c r="E9" s="408"/>
      <c r="F9" s="408"/>
      <c r="G9" s="408"/>
      <c r="H9" s="408"/>
    </row>
    <row r="10" spans="1:8" ht="14.25">
      <c r="A10" s="408" t="s">
        <v>302</v>
      </c>
      <c r="B10" s="408"/>
      <c r="C10" s="408"/>
      <c r="D10" s="408"/>
      <c r="E10" s="408"/>
      <c r="F10" s="408"/>
      <c r="G10" s="408"/>
      <c r="H10" s="408"/>
    </row>
    <row r="11" spans="1:8" ht="14.25">
      <c r="A11" s="408" t="s">
        <v>303</v>
      </c>
      <c r="B11" s="408"/>
      <c r="C11" s="408"/>
      <c r="D11" s="408"/>
      <c r="E11" s="408"/>
      <c r="F11" s="408"/>
      <c r="G11" s="408"/>
      <c r="H11" s="408"/>
    </row>
    <row r="12" spans="1:8" ht="12.75">
      <c r="A12" s="246"/>
      <c r="B12" s="246"/>
      <c r="C12" s="246"/>
      <c r="D12" s="246"/>
      <c r="E12" s="246"/>
      <c r="F12" s="246"/>
      <c r="G12" s="246"/>
      <c r="H12" s="246"/>
    </row>
    <row r="13" spans="1:8" ht="18">
      <c r="A13" s="405" t="s">
        <v>304</v>
      </c>
      <c r="B13" s="405"/>
      <c r="C13" s="405"/>
      <c r="D13" s="405"/>
      <c r="E13" s="405"/>
      <c r="F13" s="405"/>
      <c r="G13" s="405"/>
      <c r="H13" s="405"/>
    </row>
    <row r="14" spans="1:8" ht="12.75">
      <c r="A14" s="249"/>
      <c r="B14" s="249"/>
      <c r="C14" s="249"/>
      <c r="D14" s="249"/>
      <c r="E14" s="249"/>
      <c r="F14" s="249"/>
      <c r="G14" s="249"/>
      <c r="H14" s="249"/>
    </row>
    <row r="15" spans="1:8" ht="27" customHeight="1">
      <c r="A15" s="398" t="s">
        <v>305</v>
      </c>
      <c r="B15" s="398"/>
      <c r="C15" s="398"/>
      <c r="D15" s="398"/>
      <c r="E15" s="398"/>
      <c r="F15" s="398"/>
      <c r="G15" s="398"/>
      <c r="H15" s="398"/>
    </row>
    <row r="16" spans="1:7" ht="12.75">
      <c r="A16" s="250"/>
      <c r="B16" s="251"/>
      <c r="C16" s="250"/>
      <c r="D16" s="250"/>
      <c r="E16" s="250"/>
      <c r="F16" s="250"/>
      <c r="G16" s="250"/>
    </row>
    <row r="17" spans="1:8" ht="12.75">
      <c r="A17" s="399" t="s">
        <v>684</v>
      </c>
      <c r="B17" s="391"/>
      <c r="C17" s="391"/>
      <c r="D17" s="391"/>
      <c r="E17" s="391"/>
      <c r="F17" s="391"/>
      <c r="G17" s="391"/>
      <c r="H17" s="391"/>
    </row>
    <row r="18" spans="1:8" ht="12.75">
      <c r="A18" s="391"/>
      <c r="B18" s="391"/>
      <c r="C18" s="391"/>
      <c r="D18" s="391"/>
      <c r="E18" s="391"/>
      <c r="F18" s="391"/>
      <c r="G18" s="391"/>
      <c r="H18" s="391"/>
    </row>
    <row r="19" spans="1:8" ht="12.75">
      <c r="A19" s="391"/>
      <c r="B19" s="391"/>
      <c r="C19" s="391"/>
      <c r="D19" s="391"/>
      <c r="E19" s="391"/>
      <c r="F19" s="391"/>
      <c r="G19" s="391"/>
      <c r="H19" s="391"/>
    </row>
    <row r="20" spans="1:8" ht="12.75">
      <c r="A20" s="391"/>
      <c r="B20" s="391"/>
      <c r="C20" s="391"/>
      <c r="D20" s="391"/>
      <c r="E20" s="391"/>
      <c r="F20" s="391"/>
      <c r="G20" s="391"/>
      <c r="H20" s="391"/>
    </row>
    <row r="21" spans="1:8" ht="12.75">
      <c r="A21" s="391"/>
      <c r="B21" s="391"/>
      <c r="C21" s="391"/>
      <c r="D21" s="391"/>
      <c r="E21" s="391"/>
      <c r="F21" s="391"/>
      <c r="G21" s="391"/>
      <c r="H21" s="391"/>
    </row>
    <row r="22" spans="1:8" ht="14.25">
      <c r="A22" s="333"/>
      <c r="B22" s="333"/>
      <c r="C22" s="333"/>
      <c r="D22" s="333"/>
      <c r="E22" s="333"/>
      <c r="F22" s="333"/>
      <c r="G22" s="333"/>
      <c r="H22" s="333"/>
    </row>
    <row r="23" spans="1:8" ht="12.75">
      <c r="A23" s="404" t="s">
        <v>306</v>
      </c>
      <c r="B23" s="404"/>
      <c r="C23" s="404"/>
      <c r="D23" s="404"/>
      <c r="E23" s="404"/>
      <c r="F23" s="404"/>
      <c r="G23" s="404"/>
      <c r="H23" s="404"/>
    </row>
    <row r="24" spans="1:8" ht="12.75">
      <c r="A24" s="252"/>
      <c r="B24" s="252"/>
      <c r="C24" s="252"/>
      <c r="D24" s="252"/>
      <c r="E24" s="252"/>
      <c r="F24" s="253"/>
      <c r="G24" s="252"/>
      <c r="H24" s="252"/>
    </row>
    <row r="25" spans="1:8" ht="12.75">
      <c r="A25" s="403" t="s">
        <v>307</v>
      </c>
      <c r="B25" s="403"/>
      <c r="C25" s="403"/>
      <c r="D25" s="403"/>
      <c r="E25" s="403"/>
      <c r="F25" s="403"/>
      <c r="G25" s="403"/>
      <c r="H25" s="403"/>
    </row>
    <row r="26" spans="1:8" ht="12.75">
      <c r="A26" s="250"/>
      <c r="B26" s="250"/>
      <c r="C26" s="250"/>
      <c r="D26" s="250"/>
      <c r="E26" s="250"/>
      <c r="F26" s="250"/>
      <c r="G26" s="250"/>
      <c r="H26" s="250"/>
    </row>
    <row r="27" spans="1:8" ht="12.75">
      <c r="A27" s="254"/>
      <c r="B27" s="249"/>
      <c r="C27" s="255"/>
      <c r="D27" s="255"/>
      <c r="E27" s="255"/>
      <c r="F27" s="255"/>
      <c r="G27" s="255"/>
      <c r="H27" s="249"/>
    </row>
    <row r="28" spans="1:8" ht="12.75">
      <c r="A28" s="223"/>
      <c r="B28" s="256" t="s">
        <v>1</v>
      </c>
      <c r="C28" s="257"/>
      <c r="D28" s="257"/>
      <c r="E28" s="257"/>
      <c r="F28" s="257"/>
      <c r="G28" s="257"/>
      <c r="H28" s="162">
        <f>+'MARCO FISCAL'!B60</f>
        <v>7917800000</v>
      </c>
    </row>
    <row r="29" spans="1:8" ht="12.75">
      <c r="A29" s="254"/>
      <c r="B29" s="249"/>
      <c r="C29" s="255"/>
      <c r="D29" s="255"/>
      <c r="E29" s="255"/>
      <c r="F29" s="255"/>
      <c r="G29" s="255"/>
      <c r="H29" s="249"/>
    </row>
    <row r="30" spans="1:8" ht="12.75">
      <c r="A30" s="258"/>
      <c r="B30" s="259" t="s">
        <v>27</v>
      </c>
      <c r="C30" s="260"/>
      <c r="D30" s="260"/>
      <c r="E30" s="260"/>
      <c r="F30" s="260"/>
      <c r="G30" s="260"/>
      <c r="H30" s="259">
        <f>SUM(G30:G43)</f>
        <v>3100178105.67</v>
      </c>
    </row>
    <row r="31" spans="1:8" ht="12.75">
      <c r="A31" s="258"/>
      <c r="B31" s="255"/>
      <c r="C31" s="255"/>
      <c r="D31" s="255"/>
      <c r="E31" s="255"/>
      <c r="F31" s="255"/>
      <c r="G31" s="255"/>
      <c r="H31" s="255"/>
    </row>
    <row r="32" spans="1:11" s="223" customFormat="1" ht="12" customHeight="1" hidden="1">
      <c r="A32" s="261"/>
      <c r="B32" s="400" t="s">
        <v>32</v>
      </c>
      <c r="C32" s="401"/>
      <c r="D32" s="401"/>
      <c r="E32" s="262"/>
      <c r="F32" s="218"/>
      <c r="G32" s="251">
        <v>0</v>
      </c>
      <c r="H32" s="234"/>
      <c r="I32" s="255"/>
      <c r="K32" s="234"/>
    </row>
    <row r="33" spans="1:11" s="223" customFormat="1" ht="12" customHeight="1" hidden="1">
      <c r="A33" s="261"/>
      <c r="B33" s="401"/>
      <c r="C33" s="401"/>
      <c r="D33" s="401"/>
      <c r="E33" s="262"/>
      <c r="F33" s="251"/>
      <c r="G33" s="251"/>
      <c r="H33" s="234"/>
      <c r="I33" s="255"/>
      <c r="K33" s="234"/>
    </row>
    <row r="34" spans="1:11" s="223" customFormat="1" ht="12" customHeight="1" hidden="1">
      <c r="A34" s="261"/>
      <c r="B34" s="401"/>
      <c r="C34" s="401"/>
      <c r="D34" s="401"/>
      <c r="E34" s="262"/>
      <c r="F34" s="251"/>
      <c r="G34" s="251"/>
      <c r="H34" s="234"/>
      <c r="I34" s="255"/>
      <c r="K34" s="234"/>
    </row>
    <row r="35" spans="1:8" ht="12.75">
      <c r="A35" s="258"/>
      <c r="B35" s="249" t="s">
        <v>28</v>
      </c>
      <c r="C35" s="249"/>
      <c r="D35" s="249"/>
      <c r="E35" s="249"/>
      <c r="F35" s="249"/>
      <c r="G35" s="255">
        <f>+'MARCO FISCAL'!B124</f>
        <v>1292077663.67</v>
      </c>
      <c r="H35" s="255"/>
    </row>
    <row r="36" spans="1:8" ht="12.75">
      <c r="A36" s="258"/>
      <c r="B36" s="249"/>
      <c r="C36" s="249"/>
      <c r="D36" s="249"/>
      <c r="E36" s="249"/>
      <c r="F36" s="249"/>
      <c r="G36" s="263"/>
      <c r="H36" s="255"/>
    </row>
    <row r="37" spans="1:8" ht="12.75">
      <c r="A37" s="258"/>
      <c r="B37" s="249" t="s">
        <v>33</v>
      </c>
      <c r="D37" s="249"/>
      <c r="E37" s="249"/>
      <c r="F37" s="249"/>
      <c r="G37" s="164">
        <f>+'MARCO FISCAL'!B172</f>
        <v>10000000</v>
      </c>
      <c r="H37" s="255"/>
    </row>
    <row r="38" spans="1:8" ht="12.75">
      <c r="A38" s="258"/>
      <c r="B38" s="264"/>
      <c r="C38" s="240"/>
      <c r="D38" s="264"/>
      <c r="E38" s="264"/>
      <c r="F38" s="264"/>
      <c r="G38" s="164"/>
      <c r="H38" s="255"/>
    </row>
    <row r="39" spans="1:8" ht="12.75">
      <c r="A39" s="261"/>
      <c r="B39" s="234"/>
      <c r="C39" s="234"/>
      <c r="D39" s="234"/>
      <c r="E39" s="234"/>
      <c r="F39" s="234"/>
      <c r="G39" s="265"/>
      <c r="H39" s="234"/>
    </row>
    <row r="40" spans="1:8" ht="12.75">
      <c r="A40" s="261"/>
      <c r="B40" s="251" t="s">
        <v>35</v>
      </c>
      <c r="C40" s="251"/>
      <c r="D40" s="251"/>
      <c r="E40" s="251"/>
      <c r="F40" s="251"/>
      <c r="G40" s="164">
        <f>+'MARCO FISCAL'!B176</f>
        <v>30000000</v>
      </c>
      <c r="H40" s="234"/>
    </row>
    <row r="41" spans="1:8" ht="12.75">
      <c r="A41" s="261"/>
      <c r="B41" s="251"/>
      <c r="C41" s="251"/>
      <c r="D41" s="251"/>
      <c r="E41" s="251"/>
      <c r="F41" s="251"/>
      <c r="G41" s="164"/>
      <c r="H41" s="234"/>
    </row>
    <row r="42" spans="1:8" ht="12.75">
      <c r="A42" s="261"/>
      <c r="B42" s="251" t="s">
        <v>668</v>
      </c>
      <c r="C42" s="251"/>
      <c r="D42" s="251"/>
      <c r="E42" s="251"/>
      <c r="F42" s="251"/>
      <c r="G42" s="164">
        <f>+'MARCO FISCAL'!B88+'MARCO FISCAL'!B76+'MARCO FISCAL'!B80+'MARCO FISCAL'!B118</f>
        <v>1768100442</v>
      </c>
      <c r="H42" s="234"/>
    </row>
    <row r="43" spans="1:8" ht="12.75">
      <c r="A43" s="261"/>
      <c r="B43" s="234"/>
      <c r="C43" s="234"/>
      <c r="D43" s="234"/>
      <c r="E43" s="234"/>
      <c r="F43" s="234"/>
      <c r="G43" s="265"/>
      <c r="H43" s="234"/>
    </row>
    <row r="44" spans="1:8" ht="12.75">
      <c r="A44" s="266"/>
      <c r="B44" s="267" t="s">
        <v>37</v>
      </c>
      <c r="C44" s="268"/>
      <c r="D44" s="268"/>
      <c r="E44" s="268"/>
      <c r="F44" s="268"/>
      <c r="G44" s="269"/>
      <c r="H44" s="267">
        <f>+'MARCO FISCAL'!B62+'MARCO FISCAL'!B178</f>
        <v>40000000</v>
      </c>
    </row>
    <row r="45" spans="1:8" ht="12.75">
      <c r="A45" s="261"/>
      <c r="B45" s="234"/>
      <c r="C45" s="234"/>
      <c r="D45" s="234"/>
      <c r="E45" s="234"/>
      <c r="F45" s="234"/>
      <c r="G45" s="234"/>
      <c r="H45" s="234"/>
    </row>
    <row r="46" spans="1:8" ht="12.75">
      <c r="A46" s="261"/>
      <c r="B46" s="402" t="s">
        <v>308</v>
      </c>
      <c r="C46" s="402"/>
      <c r="D46" s="402"/>
      <c r="E46" s="402"/>
      <c r="F46" s="402"/>
      <c r="G46" s="402"/>
      <c r="H46" s="251">
        <f>+H28+H30+H44</f>
        <v>11057978105.67</v>
      </c>
    </row>
    <row r="47" spans="1:8" ht="29.25" customHeight="1">
      <c r="A47" s="261"/>
      <c r="B47" s="402"/>
      <c r="C47" s="402"/>
      <c r="D47" s="402"/>
      <c r="E47" s="402"/>
      <c r="F47" s="402"/>
      <c r="G47" s="402"/>
      <c r="H47" s="234"/>
    </row>
    <row r="48" spans="1:8" ht="12.75">
      <c r="A48" s="258"/>
      <c r="B48" s="255"/>
      <c r="C48" s="255"/>
      <c r="D48" s="255"/>
      <c r="E48" s="255"/>
      <c r="F48" s="255"/>
      <c r="G48" s="255"/>
      <c r="H48" s="255"/>
    </row>
    <row r="49" spans="1:8" ht="12.75">
      <c r="A49" s="261"/>
      <c r="B49" s="270"/>
      <c r="C49" s="248"/>
      <c r="D49" s="248"/>
      <c r="E49" s="270"/>
      <c r="F49" s="255"/>
      <c r="G49" s="255"/>
      <c r="H49" s="234"/>
    </row>
    <row r="50" spans="1:10" ht="12.75">
      <c r="A50" s="261"/>
      <c r="B50" s="251" t="s">
        <v>677</v>
      </c>
      <c r="C50" s="270"/>
      <c r="D50" s="270"/>
      <c r="E50" s="270"/>
      <c r="F50" s="255"/>
      <c r="G50" s="255"/>
      <c r="H50" s="251">
        <f>+H46</f>
        <v>11057978105.67</v>
      </c>
      <c r="I50" s="224"/>
      <c r="J50" s="224"/>
    </row>
    <row r="51" spans="1:8" ht="12.75">
      <c r="A51" s="261"/>
      <c r="B51" s="251"/>
      <c r="C51" s="270"/>
      <c r="D51" s="270"/>
      <c r="E51" s="270"/>
      <c r="F51" s="255"/>
      <c r="G51" s="255"/>
      <c r="H51" s="251"/>
    </row>
    <row r="52" ht="12.75">
      <c r="H52" s="224"/>
    </row>
    <row r="53" ht="12.75">
      <c r="H53" s="224"/>
    </row>
    <row r="54" spans="1:8" s="289" customFormat="1" ht="33.75" customHeight="1">
      <c r="A54" s="398" t="s">
        <v>309</v>
      </c>
      <c r="B54" s="398"/>
      <c r="C54" s="398"/>
      <c r="D54" s="398"/>
      <c r="E54" s="398"/>
      <c r="F54" s="398"/>
      <c r="G54" s="398"/>
      <c r="H54" s="398"/>
    </row>
    <row r="55" spans="1:8" ht="22.5" customHeight="1">
      <c r="A55" s="249"/>
      <c r="B55" s="248"/>
      <c r="C55" s="249"/>
      <c r="D55" s="249"/>
      <c r="E55" s="249"/>
      <c r="F55" s="249"/>
      <c r="G55" s="249"/>
      <c r="H55" s="249"/>
    </row>
    <row r="56" spans="1:8" ht="12.75">
      <c r="A56" s="399" t="s">
        <v>685</v>
      </c>
      <c r="B56" s="391"/>
      <c r="C56" s="391"/>
      <c r="D56" s="391"/>
      <c r="E56" s="391"/>
      <c r="F56" s="391"/>
      <c r="G56" s="391"/>
      <c r="H56" s="391"/>
    </row>
    <row r="57" spans="1:8" ht="22.5" customHeight="1">
      <c r="A57" s="391"/>
      <c r="B57" s="391"/>
      <c r="C57" s="391"/>
      <c r="D57" s="391"/>
      <c r="E57" s="391"/>
      <c r="F57" s="391"/>
      <c r="G57" s="391"/>
      <c r="H57" s="391"/>
    </row>
    <row r="58" spans="1:8" ht="27.75" customHeight="1">
      <c r="A58" s="391"/>
      <c r="B58" s="391"/>
      <c r="C58" s="391"/>
      <c r="D58" s="391"/>
      <c r="E58" s="391"/>
      <c r="F58" s="391"/>
      <c r="G58" s="391"/>
      <c r="H58" s="391"/>
    </row>
    <row r="59" spans="1:8" ht="12.75">
      <c r="A59" s="248"/>
      <c r="B59" s="248"/>
      <c r="C59" s="248"/>
      <c r="D59" s="248"/>
      <c r="E59" s="248"/>
      <c r="F59" s="248"/>
      <c r="G59" s="248"/>
      <c r="H59" s="248"/>
    </row>
    <row r="60" spans="1:8" ht="12.75">
      <c r="A60" s="248"/>
      <c r="B60" s="248"/>
      <c r="C60" s="248"/>
      <c r="D60" s="248"/>
      <c r="E60" s="248"/>
      <c r="F60" s="248"/>
      <c r="G60" s="248"/>
      <c r="H60" s="248"/>
    </row>
    <row r="61" spans="1:8" ht="12.75">
      <c r="A61" s="403" t="s">
        <v>310</v>
      </c>
      <c r="B61" s="403"/>
      <c r="C61" s="403"/>
      <c r="D61" s="403"/>
      <c r="E61" s="403"/>
      <c r="F61" s="403"/>
      <c r="G61" s="403"/>
      <c r="H61" s="403"/>
    </row>
    <row r="62" spans="1:8" ht="12.75">
      <c r="A62" s="223"/>
      <c r="B62" s="223"/>
      <c r="C62" s="223"/>
      <c r="D62" s="223"/>
      <c r="E62" s="271"/>
      <c r="F62" s="272"/>
      <c r="G62" s="271"/>
      <c r="H62" s="271"/>
    </row>
    <row r="63" spans="1:8" s="277" customFormat="1" ht="15">
      <c r="A63" s="273"/>
      <c r="B63" s="274" t="s">
        <v>311</v>
      </c>
      <c r="C63" s="273"/>
      <c r="D63" s="273"/>
      <c r="E63" s="275"/>
      <c r="F63" s="275"/>
      <c r="G63" s="275"/>
      <c r="H63" s="276">
        <f>+SUM(G65:G68)</f>
        <v>2728243950.76</v>
      </c>
    </row>
    <row r="64" spans="1:8" ht="12.75">
      <c r="A64" s="223"/>
      <c r="B64" s="223"/>
      <c r="C64" s="223"/>
      <c r="D64" s="223"/>
      <c r="E64" s="223"/>
      <c r="F64" s="223"/>
      <c r="G64" s="223"/>
      <c r="H64" s="234"/>
    </row>
    <row r="65" spans="1:7" ht="12.75">
      <c r="A65" s="223"/>
      <c r="B65" s="223" t="s">
        <v>312</v>
      </c>
      <c r="C65" s="223"/>
      <c r="D65" s="223"/>
      <c r="E65" s="223"/>
      <c r="F65" s="223"/>
      <c r="G65" s="234">
        <f>+'MARCO FISCAL'!B201</f>
        <v>118767000</v>
      </c>
    </row>
    <row r="66" spans="1:7" ht="12.75">
      <c r="A66" s="223"/>
      <c r="B66" s="223" t="s">
        <v>313</v>
      </c>
      <c r="C66" s="223"/>
      <c r="D66" s="223"/>
      <c r="E66" s="223"/>
      <c r="F66" s="223"/>
      <c r="G66" s="234">
        <f>+'MARCO FISCAL'!B202</f>
        <v>105173200</v>
      </c>
    </row>
    <row r="67" spans="1:7" ht="12.75">
      <c r="A67" s="223"/>
      <c r="B67" s="223" t="s">
        <v>314</v>
      </c>
      <c r="C67" s="223"/>
      <c r="D67" s="223"/>
      <c r="E67" s="223"/>
      <c r="F67" s="223"/>
      <c r="G67" s="234">
        <f>+'MARCO FISCAL'!B204</f>
        <v>93744000</v>
      </c>
    </row>
    <row r="68" spans="1:7" ht="12.75">
      <c r="A68" s="223"/>
      <c r="B68" s="223" t="s">
        <v>315</v>
      </c>
      <c r="C68" s="223"/>
      <c r="D68" s="223"/>
      <c r="E68" s="223"/>
      <c r="F68" s="223"/>
      <c r="G68" s="234">
        <f>+'MARCO FISCAL'!B206</f>
        <v>2410559750.76</v>
      </c>
    </row>
    <row r="69" spans="1:8" ht="12.75">
      <c r="A69" s="223"/>
      <c r="B69" s="223"/>
      <c r="C69" s="223"/>
      <c r="D69" s="223"/>
      <c r="E69" s="223"/>
      <c r="F69" s="223"/>
      <c r="G69" s="223"/>
      <c r="H69" s="234"/>
    </row>
    <row r="70" spans="1:8" s="277" customFormat="1" ht="15">
      <c r="A70" s="275"/>
      <c r="B70" s="274" t="s">
        <v>316</v>
      </c>
      <c r="C70" s="275"/>
      <c r="D70" s="275"/>
      <c r="E70" s="275"/>
      <c r="F70" s="275"/>
      <c r="G70" s="275"/>
      <c r="H70" s="276"/>
    </row>
    <row r="71" spans="1:8" s="277" customFormat="1" ht="15">
      <c r="A71" s="275"/>
      <c r="B71" s="274"/>
      <c r="C71" s="275"/>
      <c r="D71" s="275"/>
      <c r="E71" s="275"/>
      <c r="F71" s="275"/>
      <c r="G71" s="275"/>
      <c r="H71" s="276"/>
    </row>
    <row r="72" spans="1:8" s="277" customFormat="1" ht="14.25">
      <c r="A72" s="275"/>
      <c r="B72" s="275"/>
      <c r="C72" s="275"/>
      <c r="D72" s="275"/>
      <c r="E72" s="275"/>
      <c r="F72" s="275"/>
      <c r="G72" s="275"/>
      <c r="H72" s="278"/>
    </row>
    <row r="73" spans="1:8" s="277" customFormat="1" ht="15">
      <c r="A73" s="275"/>
      <c r="B73" s="274" t="s">
        <v>317</v>
      </c>
      <c r="C73" s="275"/>
      <c r="D73" s="275"/>
      <c r="E73" s="275"/>
      <c r="F73" s="275"/>
      <c r="G73" s="275"/>
      <c r="H73" s="276">
        <f>+'MARCO FISCAL'!B230+'MARCO FISCAL'!B232+'MARCO FISCAL'!B221</f>
        <v>5440556049.24</v>
      </c>
    </row>
    <row r="74" spans="1:8" s="277" customFormat="1" ht="15">
      <c r="A74" s="275"/>
      <c r="B74" s="274"/>
      <c r="C74" s="275"/>
      <c r="D74" s="275"/>
      <c r="E74" s="275"/>
      <c r="F74" s="275"/>
      <c r="G74" s="275"/>
      <c r="H74" s="276"/>
    </row>
    <row r="75" spans="1:8" s="277" customFormat="1" ht="15">
      <c r="A75" s="275"/>
      <c r="B75" s="274"/>
      <c r="C75" s="275"/>
      <c r="D75" s="275"/>
      <c r="E75" s="275"/>
      <c r="F75" s="275"/>
      <c r="G75" s="275"/>
      <c r="H75" s="276"/>
    </row>
    <row r="76" spans="1:8" s="277" customFormat="1" ht="15">
      <c r="A76" s="275"/>
      <c r="B76" s="274"/>
      <c r="C76" s="275"/>
      <c r="D76" s="275"/>
      <c r="E76" s="275"/>
      <c r="F76" s="275"/>
      <c r="G76" s="275"/>
      <c r="H76" s="276"/>
    </row>
    <row r="77" spans="1:8" s="277" customFormat="1" ht="15">
      <c r="A77" s="275"/>
      <c r="B77" s="274" t="s">
        <v>318</v>
      </c>
      <c r="C77" s="275"/>
      <c r="D77" s="275"/>
      <c r="E77" s="275"/>
      <c r="F77" s="275"/>
      <c r="G77" s="275"/>
      <c r="H77" s="276">
        <f>+H82+H115+H133</f>
        <v>1608807416</v>
      </c>
    </row>
    <row r="78" s="277" customFormat="1" ht="14.25"/>
    <row r="79" s="277" customFormat="1" ht="14.25"/>
    <row r="80" spans="1:8" s="279" customFormat="1" ht="15">
      <c r="A80" s="393" t="s">
        <v>319</v>
      </c>
      <c r="B80" s="393"/>
      <c r="C80" s="393"/>
      <c r="D80" s="393"/>
      <c r="E80" s="393"/>
      <c r="F80" s="393"/>
      <c r="G80" s="393"/>
      <c r="H80" s="393"/>
    </row>
    <row r="81" spans="5:8" ht="12.75">
      <c r="E81" s="280"/>
      <c r="H81" s="234"/>
    </row>
    <row r="82" spans="2:9" ht="12.75">
      <c r="B82" s="280" t="s">
        <v>320</v>
      </c>
      <c r="C82" s="280"/>
      <c r="D82" s="280"/>
      <c r="E82" s="280"/>
      <c r="F82" s="280"/>
      <c r="G82" s="280"/>
      <c r="H82" s="251">
        <f>+G84+G89+G94+G99+G102</f>
        <v>219060121</v>
      </c>
      <c r="I82" s="251">
        <f>'MARCO FISCAL'!B89</f>
        <v>219060121</v>
      </c>
    </row>
    <row r="83" spans="2:8" ht="12.75">
      <c r="B83" s="223"/>
      <c r="H83" s="251"/>
    </row>
    <row r="84" spans="2:7" ht="12.75">
      <c r="B84" s="280" t="s">
        <v>321</v>
      </c>
      <c r="G84" s="251">
        <f>SUM(G85:G87)</f>
        <v>103060121</v>
      </c>
    </row>
    <row r="85" spans="2:7" ht="12.75">
      <c r="B85" s="223" t="s">
        <v>322</v>
      </c>
      <c r="G85" s="234">
        <v>80000000</v>
      </c>
    </row>
    <row r="86" spans="2:7" ht="12.75">
      <c r="B86" s="223" t="s">
        <v>628</v>
      </c>
      <c r="G86" s="234">
        <v>8060121</v>
      </c>
    </row>
    <row r="87" spans="2:7" ht="12.75">
      <c r="B87" s="223" t="s">
        <v>323</v>
      </c>
      <c r="G87" s="234">
        <v>15000000</v>
      </c>
    </row>
    <row r="88" spans="2:8" ht="12.75">
      <c r="B88" s="223"/>
      <c r="H88" s="234"/>
    </row>
    <row r="89" spans="2:7" ht="12.75">
      <c r="B89" s="280" t="s">
        <v>324</v>
      </c>
      <c r="G89" s="251">
        <f>SUM(G90:G92)</f>
        <v>92000000</v>
      </c>
    </row>
    <row r="90" spans="2:7" ht="12.75">
      <c r="B90" s="223" t="s">
        <v>325</v>
      </c>
      <c r="G90" s="234">
        <v>24000000</v>
      </c>
    </row>
    <row r="91" spans="2:7" ht="12.75">
      <c r="B91" s="223" t="s">
        <v>326</v>
      </c>
      <c r="G91" s="234">
        <v>48000000</v>
      </c>
    </row>
    <row r="92" spans="2:7" ht="12.75">
      <c r="B92" s="223" t="s">
        <v>328</v>
      </c>
      <c r="G92" s="234">
        <v>20000000</v>
      </c>
    </row>
    <row r="93" spans="2:7" ht="12.75">
      <c r="B93" s="223"/>
      <c r="G93" s="234"/>
    </row>
    <row r="94" spans="2:7" ht="12.75">
      <c r="B94" s="280" t="s">
        <v>329</v>
      </c>
      <c r="G94" s="251">
        <f>SUM(G95:G96)</f>
        <v>10000000</v>
      </c>
    </row>
    <row r="95" spans="2:7" ht="12.75" hidden="1">
      <c r="B95" s="223" t="s">
        <v>330</v>
      </c>
      <c r="G95" s="234">
        <v>0</v>
      </c>
    </row>
    <row r="96" spans="2:7" ht="12.75">
      <c r="B96" s="223" t="s">
        <v>331</v>
      </c>
      <c r="G96" s="234">
        <v>10000000</v>
      </c>
    </row>
    <row r="97" spans="2:7" ht="12.75">
      <c r="B97" s="223"/>
      <c r="G97" s="234"/>
    </row>
    <row r="98" spans="2:7" ht="12.75" hidden="1">
      <c r="B98" s="223"/>
      <c r="G98" s="234"/>
    </row>
    <row r="99" spans="2:7" ht="12.75" hidden="1">
      <c r="B99" s="280" t="s">
        <v>332</v>
      </c>
      <c r="G99" s="251">
        <f>SUM(G100)</f>
        <v>0</v>
      </c>
    </row>
    <row r="100" spans="2:7" ht="12.75" hidden="1">
      <c r="B100" s="223" t="s">
        <v>333</v>
      </c>
      <c r="G100" s="234">
        <v>0</v>
      </c>
    </row>
    <row r="101" spans="2:7" ht="12.75" hidden="1">
      <c r="B101" s="223"/>
      <c r="G101" s="234"/>
    </row>
    <row r="102" spans="2:7" ht="12.75">
      <c r="B102" s="280" t="s">
        <v>334</v>
      </c>
      <c r="G102" s="251">
        <f>SUM(G103:G105)</f>
        <v>14000000</v>
      </c>
    </row>
    <row r="103" spans="2:7" ht="12.75">
      <c r="B103" s="223" t="s">
        <v>335</v>
      </c>
      <c r="G103" s="234">
        <v>8000000</v>
      </c>
    </row>
    <row r="104" spans="2:7" ht="12.75">
      <c r="B104" s="223" t="s">
        <v>336</v>
      </c>
      <c r="G104" s="329">
        <v>6000000</v>
      </c>
    </row>
    <row r="105" spans="2:7" ht="12.75" hidden="1">
      <c r="B105" s="223" t="s">
        <v>337</v>
      </c>
      <c r="G105" s="234">
        <v>0</v>
      </c>
    </row>
    <row r="106" spans="2:8" ht="12.75">
      <c r="B106" s="223"/>
      <c r="H106" s="281"/>
    </row>
    <row r="107" spans="2:8" ht="12.75">
      <c r="B107" s="223"/>
      <c r="H107" s="281"/>
    </row>
    <row r="108" spans="2:8" ht="12.75">
      <c r="B108" s="223"/>
      <c r="H108" s="281"/>
    </row>
    <row r="109" spans="2:8" ht="12.75">
      <c r="B109" s="223"/>
      <c r="H109" s="281"/>
    </row>
    <row r="110" spans="2:8" ht="12.75">
      <c r="B110" s="223"/>
      <c r="H110" s="281"/>
    </row>
    <row r="111" spans="2:8" ht="12.75">
      <c r="B111" s="223"/>
      <c r="H111" s="281"/>
    </row>
    <row r="112" spans="2:8" ht="12.75">
      <c r="B112" s="223"/>
      <c r="H112" s="281"/>
    </row>
    <row r="113" spans="1:8" ht="15">
      <c r="A113" s="393" t="s">
        <v>338</v>
      </c>
      <c r="B113" s="393"/>
      <c r="C113" s="393"/>
      <c r="D113" s="393"/>
      <c r="E113" s="393"/>
      <c r="F113" s="393"/>
      <c r="G113" s="393"/>
      <c r="H113" s="393"/>
    </row>
    <row r="114" spans="5:8" ht="12.75">
      <c r="E114" s="282"/>
      <c r="H114" s="234"/>
    </row>
    <row r="115" spans="2:9" ht="12.75">
      <c r="B115" s="283" t="s">
        <v>338</v>
      </c>
      <c r="H115" s="251">
        <f>+G118</f>
        <v>285209436</v>
      </c>
      <c r="I115" s="292">
        <f>+'MARCO FISCAL'!B98</f>
        <v>285209436</v>
      </c>
    </row>
    <row r="116" ht="13.5" customHeight="1">
      <c r="H116" s="234"/>
    </row>
    <row r="117" ht="12.75">
      <c r="H117" s="234"/>
    </row>
    <row r="118" spans="2:7" ht="12.75">
      <c r="B118" s="280" t="s">
        <v>339</v>
      </c>
      <c r="G118" s="251">
        <f>SUM(G119:G126)</f>
        <v>285209436</v>
      </c>
    </row>
    <row r="119" spans="2:7" ht="12.75" hidden="1">
      <c r="B119" s="223" t="s">
        <v>340</v>
      </c>
      <c r="G119" s="234">
        <v>0</v>
      </c>
    </row>
    <row r="120" spans="2:7" ht="12.75" hidden="1">
      <c r="B120" s="223" t="s">
        <v>239</v>
      </c>
      <c r="G120" s="234">
        <v>0</v>
      </c>
    </row>
    <row r="121" spans="2:9" ht="12.75">
      <c r="B121" s="223" t="s">
        <v>341</v>
      </c>
      <c r="G121" s="234">
        <v>9000000</v>
      </c>
      <c r="I121" s="281"/>
    </row>
    <row r="122" spans="2:9" ht="12.75">
      <c r="B122" s="223" t="s">
        <v>342</v>
      </c>
      <c r="G122" s="234">
        <v>234209436</v>
      </c>
      <c r="I122" s="281"/>
    </row>
    <row r="123" spans="2:9" ht="12.75" hidden="1">
      <c r="B123" s="223" t="s">
        <v>343</v>
      </c>
      <c r="G123" s="234">
        <v>0</v>
      </c>
      <c r="I123" s="281"/>
    </row>
    <row r="124" spans="2:9" ht="12.75">
      <c r="B124" s="223" t="s">
        <v>344</v>
      </c>
      <c r="G124" s="234">
        <v>13000000</v>
      </c>
      <c r="I124" s="281"/>
    </row>
    <row r="125" spans="2:9" ht="12.75">
      <c r="B125" s="223" t="s">
        <v>345</v>
      </c>
      <c r="G125" s="234">
        <v>3000000</v>
      </c>
      <c r="I125" s="281"/>
    </row>
    <row r="126" spans="2:9" ht="12.75">
      <c r="B126" s="223" t="s">
        <v>672</v>
      </c>
      <c r="G126" s="234">
        <v>26000000</v>
      </c>
      <c r="H126" s="234"/>
      <c r="I126" s="281"/>
    </row>
    <row r="127" spans="2:9" ht="12.75">
      <c r="B127" s="279"/>
      <c r="H127" s="234"/>
      <c r="I127" s="281"/>
    </row>
    <row r="128" spans="2:9" ht="12.75">
      <c r="B128" s="279"/>
      <c r="H128" s="234"/>
      <c r="I128" s="281"/>
    </row>
    <row r="129" spans="2:9" ht="12.75">
      <c r="B129" s="279"/>
      <c r="H129" s="234"/>
      <c r="I129" s="281"/>
    </row>
    <row r="130" spans="1:8" s="279" customFormat="1" ht="15.75">
      <c r="A130" s="394" t="s">
        <v>346</v>
      </c>
      <c r="B130" s="394"/>
      <c r="C130" s="394"/>
      <c r="D130" s="394"/>
      <c r="E130" s="394"/>
      <c r="F130" s="394"/>
      <c r="G130" s="394"/>
      <c r="H130" s="394"/>
    </row>
    <row r="131" spans="1:8" s="279" customFormat="1" ht="15.75">
      <c r="A131" s="328"/>
      <c r="B131" s="328"/>
      <c r="C131" s="328"/>
      <c r="D131" s="328"/>
      <c r="E131" s="328"/>
      <c r="F131" s="328"/>
      <c r="G131" s="328"/>
      <c r="H131" s="328"/>
    </row>
    <row r="132" spans="1:8" s="279" customFormat="1" ht="12.75">
      <c r="A132" s="284"/>
      <c r="B132" s="284"/>
      <c r="C132" s="284"/>
      <c r="D132" s="284"/>
      <c r="E132" s="284"/>
      <c r="F132" s="284"/>
      <c r="G132" s="284"/>
      <c r="H132" s="284"/>
    </row>
    <row r="133" spans="2:8" s="279" customFormat="1" ht="12.75">
      <c r="B133" s="280" t="s">
        <v>346</v>
      </c>
      <c r="H133" s="285">
        <v>1104537859</v>
      </c>
    </row>
    <row r="134" spans="2:8" s="279" customFormat="1" ht="12.75">
      <c r="B134" s="280"/>
      <c r="H134" s="285"/>
    </row>
    <row r="135" spans="1:8" ht="15">
      <c r="A135" s="395" t="s">
        <v>347</v>
      </c>
      <c r="B135" s="395"/>
      <c r="C135" s="395"/>
      <c r="D135" s="395"/>
      <c r="E135" s="395"/>
      <c r="F135" s="395"/>
      <c r="G135" s="395"/>
      <c r="H135" s="395"/>
    </row>
    <row r="136" ht="12.75">
      <c r="H136" s="234"/>
    </row>
    <row r="137" spans="2:9" s="280" customFormat="1" ht="12.75">
      <c r="B137" s="280" t="s">
        <v>348</v>
      </c>
      <c r="H137" s="251">
        <f>+G140+G147</f>
        <v>40663385</v>
      </c>
      <c r="I137" s="162">
        <f>+'MARCO FISCAL'!B111</f>
        <v>40663385</v>
      </c>
    </row>
    <row r="138" ht="12.75">
      <c r="H138" s="234"/>
    </row>
    <row r="139" ht="12.75">
      <c r="H139" s="234"/>
    </row>
    <row r="140" spans="2:7" s="286" customFormat="1" ht="12.75" customHeight="1">
      <c r="B140" s="280" t="s">
        <v>349</v>
      </c>
      <c r="D140" s="281"/>
      <c r="E140" s="281"/>
      <c r="F140" s="281"/>
      <c r="G140" s="287">
        <f>SUM(G141:G144)</f>
        <v>25000000</v>
      </c>
    </row>
    <row r="141" spans="2:11" s="286" customFormat="1" ht="12.75">
      <c r="B141" s="223" t="s">
        <v>350</v>
      </c>
      <c r="G141" s="281">
        <v>10000000</v>
      </c>
      <c r="I141" s="281"/>
      <c r="J141" s="281"/>
      <c r="K141" s="288"/>
    </row>
    <row r="142" spans="2:11" s="286" customFormat="1" ht="12.75" customHeight="1" hidden="1">
      <c r="B142" s="223" t="s">
        <v>351</v>
      </c>
      <c r="G142" s="281">
        <v>0</v>
      </c>
      <c r="I142" s="281"/>
      <c r="J142" s="281"/>
      <c r="K142" s="288"/>
    </row>
    <row r="143" spans="2:11" s="286" customFormat="1" ht="12.75" customHeight="1" hidden="1">
      <c r="B143" s="223" t="s">
        <v>352</v>
      </c>
      <c r="G143" s="281">
        <v>0</v>
      </c>
      <c r="I143" s="281"/>
      <c r="J143" s="281"/>
      <c r="K143" s="288"/>
    </row>
    <row r="144" spans="2:11" s="286" customFormat="1" ht="12.75" customHeight="1">
      <c r="B144" s="223" t="s">
        <v>353</v>
      </c>
      <c r="G144" s="281">
        <v>15000000</v>
      </c>
      <c r="I144" s="281"/>
      <c r="J144" s="281"/>
      <c r="K144" s="288"/>
    </row>
    <row r="145" spans="2:11" s="286" customFormat="1" ht="12.75" customHeight="1">
      <c r="B145" s="223"/>
      <c r="G145" s="330"/>
      <c r="I145" s="281"/>
      <c r="J145" s="281"/>
      <c r="K145" s="288"/>
    </row>
    <row r="146" ht="12.75">
      <c r="G146" s="234"/>
    </row>
    <row r="147" spans="2:7" ht="12.75">
      <c r="B147" s="280" t="s">
        <v>354</v>
      </c>
      <c r="C147" s="286"/>
      <c r="D147" s="281"/>
      <c r="E147" s="281"/>
      <c r="F147" s="281"/>
      <c r="G147" s="251">
        <f>SUM(G148)</f>
        <v>15663385</v>
      </c>
    </row>
    <row r="148" spans="2:10" ht="12.75">
      <c r="B148" s="223" t="s">
        <v>355</v>
      </c>
      <c r="C148" s="286"/>
      <c r="G148" s="281">
        <v>15663385</v>
      </c>
      <c r="I148" s="281"/>
      <c r="J148" s="281"/>
    </row>
    <row r="149" ht="12.75">
      <c r="H149" s="234"/>
    </row>
    <row r="150" ht="12.75">
      <c r="H150" s="234"/>
    </row>
    <row r="151" ht="12.75">
      <c r="H151" s="234"/>
    </row>
    <row r="152" ht="12.75">
      <c r="H152" s="234"/>
    </row>
    <row r="153" spans="1:8" s="289" customFormat="1" ht="15">
      <c r="A153" s="395" t="s">
        <v>356</v>
      </c>
      <c r="B153" s="395"/>
      <c r="C153" s="395"/>
      <c r="D153" s="395"/>
      <c r="E153" s="395"/>
      <c r="F153" s="395"/>
      <c r="G153" s="395"/>
      <c r="H153" s="395"/>
    </row>
    <row r="154" spans="1:8" ht="12.75">
      <c r="A154" s="290"/>
      <c r="B154" s="290"/>
      <c r="C154" s="290"/>
      <c r="D154" s="290"/>
      <c r="E154" s="290"/>
      <c r="F154" s="290"/>
      <c r="G154" s="290"/>
      <c r="H154" s="290"/>
    </row>
    <row r="155" spans="1:8" ht="12.75">
      <c r="A155" s="290"/>
      <c r="B155" s="290"/>
      <c r="C155" s="290"/>
      <c r="D155" s="290"/>
      <c r="E155" s="290"/>
      <c r="F155" s="290"/>
      <c r="G155" s="290"/>
      <c r="H155" s="290"/>
    </row>
    <row r="156" spans="2:9" ht="12.75">
      <c r="B156" s="280" t="s">
        <v>356</v>
      </c>
      <c r="C156" s="280"/>
      <c r="D156" s="280"/>
      <c r="E156" s="280"/>
      <c r="F156" s="280"/>
      <c r="G156" s="280"/>
      <c r="H156" s="251">
        <f>+G159</f>
        <v>30497539</v>
      </c>
      <c r="I156" s="292">
        <f>+'MARCO FISCAL'!B113</f>
        <v>30497539</v>
      </c>
    </row>
    <row r="157" spans="2:8" ht="12.75">
      <c r="B157" s="279"/>
      <c r="H157" s="234"/>
    </row>
    <row r="158" spans="2:8" ht="12.75">
      <c r="B158" s="279"/>
      <c r="H158" s="234"/>
    </row>
    <row r="159" spans="2:7" s="286" customFormat="1" ht="12.75" customHeight="1">
      <c r="B159" s="291" t="s">
        <v>589</v>
      </c>
      <c r="D159" s="281"/>
      <c r="E159" s="281"/>
      <c r="F159" s="281"/>
      <c r="G159" s="287">
        <f>SUM(G160:G162)</f>
        <v>30497539</v>
      </c>
    </row>
    <row r="160" spans="2:11" s="286" customFormat="1" ht="12.75">
      <c r="B160" s="223" t="s">
        <v>358</v>
      </c>
      <c r="G160" s="281">
        <v>10000000</v>
      </c>
      <c r="I160" s="281"/>
      <c r="J160" s="281"/>
      <c r="K160" s="288"/>
    </row>
    <row r="161" spans="2:11" s="286" customFormat="1" ht="12.75" customHeight="1">
      <c r="B161" s="223" t="s">
        <v>359</v>
      </c>
      <c r="G161" s="281">
        <v>10000000</v>
      </c>
      <c r="I161" s="281"/>
      <c r="J161" s="281"/>
      <c r="K161" s="288"/>
    </row>
    <row r="162" spans="2:11" s="286" customFormat="1" ht="12.75" customHeight="1">
      <c r="B162" s="223" t="s">
        <v>360</v>
      </c>
      <c r="G162" s="281">
        <v>10497539</v>
      </c>
      <c r="I162" s="281"/>
      <c r="J162" s="281"/>
      <c r="K162" s="288"/>
    </row>
    <row r="163" spans="8:11" s="286" customFormat="1" ht="12.75" customHeight="1">
      <c r="H163" s="281"/>
      <c r="I163" s="281"/>
      <c r="J163" s="281"/>
      <c r="K163" s="288"/>
    </row>
    <row r="164" spans="8:11" s="286" customFormat="1" ht="12.75" customHeight="1">
      <c r="H164" s="281"/>
      <c r="I164" s="281"/>
      <c r="J164" s="281"/>
      <c r="K164" s="288"/>
    </row>
    <row r="165" ht="12.75">
      <c r="H165" s="234"/>
    </row>
    <row r="166" spans="1:8" ht="15.75">
      <c r="A166" s="392" t="s">
        <v>361</v>
      </c>
      <c r="B166" s="392"/>
      <c r="C166" s="392"/>
      <c r="D166" s="392"/>
      <c r="E166" s="392"/>
      <c r="F166" s="392"/>
      <c r="G166" s="392"/>
      <c r="H166" s="392"/>
    </row>
    <row r="167" ht="12.75">
      <c r="H167" s="234"/>
    </row>
    <row r="168" spans="2:10" s="280" customFormat="1" ht="12.75">
      <c r="B168" s="280" t="s">
        <v>361</v>
      </c>
      <c r="H168" s="285">
        <f>SUM(H170:H226)</f>
        <v>843396184</v>
      </c>
      <c r="I168" s="292">
        <f>+H170+H181+H190+H204+H217+I197</f>
        <v>843396184</v>
      </c>
      <c r="J168" s="292">
        <f>+'MARCO FISCAL'!B109+'MARCO FISCAL'!B115</f>
        <v>843396184</v>
      </c>
    </row>
    <row r="169" ht="12.75">
      <c r="H169" s="234"/>
    </row>
    <row r="170" spans="2:8" ht="12.75">
      <c r="B170" s="280" t="s">
        <v>362</v>
      </c>
      <c r="H170" s="234">
        <f>+G172</f>
        <v>254600000</v>
      </c>
    </row>
    <row r="171" ht="12.75">
      <c r="H171" s="234"/>
    </row>
    <row r="172" spans="2:8" ht="12.75">
      <c r="B172" s="280" t="s">
        <v>588</v>
      </c>
      <c r="G172" s="293">
        <f>SUM(G173:G177)</f>
        <v>254600000</v>
      </c>
      <c r="H172" s="234"/>
    </row>
    <row r="173" spans="2:8" ht="12.75">
      <c r="B173" s="223" t="s">
        <v>364</v>
      </c>
      <c r="G173" s="281">
        <v>20000000</v>
      </c>
      <c r="H173" s="234"/>
    </row>
    <row r="174" spans="2:8" ht="12.75">
      <c r="B174" s="223" t="s">
        <v>365</v>
      </c>
      <c r="G174" s="281">
        <v>30000000</v>
      </c>
      <c r="H174" s="234"/>
    </row>
    <row r="175" spans="2:8" ht="12.75">
      <c r="B175" s="223" t="s">
        <v>366</v>
      </c>
      <c r="G175" s="281">
        <v>160000000</v>
      </c>
      <c r="H175" s="234"/>
    </row>
    <row r="176" spans="2:8" ht="12.75">
      <c r="B176" s="223" t="s">
        <v>367</v>
      </c>
      <c r="G176" s="281">
        <v>24600000</v>
      </c>
      <c r="H176" s="234"/>
    </row>
    <row r="177" spans="2:8" ht="12.75">
      <c r="B177" s="223" t="s">
        <v>368</v>
      </c>
      <c r="G177" s="281">
        <v>20000000</v>
      </c>
      <c r="H177" s="234"/>
    </row>
    <row r="178" spans="2:8" ht="12.75">
      <c r="B178" s="280"/>
      <c r="H178" s="234"/>
    </row>
    <row r="179" spans="2:8" ht="12.75">
      <c r="B179" s="280"/>
      <c r="H179" s="234"/>
    </row>
    <row r="180" ht="12.75">
      <c r="H180" s="234"/>
    </row>
    <row r="181" spans="2:8" ht="12.75">
      <c r="B181" s="280" t="s">
        <v>369</v>
      </c>
      <c r="H181" s="234">
        <f>+G183+G185</f>
        <v>56000000</v>
      </c>
    </row>
    <row r="182" spans="2:8" ht="12.75">
      <c r="B182" s="280"/>
      <c r="H182" s="234"/>
    </row>
    <row r="183" spans="2:11" ht="12.75" hidden="1">
      <c r="B183" s="291" t="s">
        <v>590</v>
      </c>
      <c r="C183" s="286"/>
      <c r="D183" s="281"/>
      <c r="E183" s="281"/>
      <c r="F183" s="281"/>
      <c r="G183" s="293">
        <f>SUM(G184)</f>
        <v>0</v>
      </c>
      <c r="H183" s="234"/>
      <c r="I183" s="281"/>
      <c r="J183" s="281"/>
      <c r="K183" s="281">
        <v>9000000</v>
      </c>
    </row>
    <row r="184" spans="2:11" ht="12.75" hidden="1">
      <c r="B184" s="294" t="s">
        <v>371</v>
      </c>
      <c r="C184" s="286"/>
      <c r="G184" s="281">
        <v>0</v>
      </c>
      <c r="H184" s="234"/>
      <c r="I184" s="281"/>
      <c r="J184" s="281"/>
      <c r="K184" s="281"/>
    </row>
    <row r="185" spans="2:11" ht="25.5">
      <c r="B185" s="291" t="s">
        <v>591</v>
      </c>
      <c r="C185" s="286"/>
      <c r="G185" s="293">
        <f>SUM(G186:G187)</f>
        <v>56000000</v>
      </c>
      <c r="H185" s="234"/>
      <c r="I185" s="281"/>
      <c r="J185" s="281"/>
      <c r="K185" s="281">
        <f>I185*$G$922</f>
        <v>0</v>
      </c>
    </row>
    <row r="186" spans="2:11" ht="12.75">
      <c r="B186" s="286" t="s">
        <v>373</v>
      </c>
      <c r="C186" s="286"/>
      <c r="G186" s="281">
        <v>16000000</v>
      </c>
      <c r="H186" s="234"/>
      <c r="I186" s="281"/>
      <c r="J186" s="281"/>
      <c r="K186" s="281">
        <f>I186*$G$922</f>
        <v>0</v>
      </c>
    </row>
    <row r="187" spans="2:8" ht="12.75">
      <c r="B187" s="286" t="s">
        <v>374</v>
      </c>
      <c r="C187" s="286"/>
      <c r="G187" s="281">
        <v>40000000</v>
      </c>
      <c r="H187" s="234"/>
    </row>
    <row r="188" spans="2:8" ht="12.75">
      <c r="B188" s="286"/>
      <c r="C188" s="286"/>
      <c r="G188" s="281"/>
      <c r="H188" s="234"/>
    </row>
    <row r="189" spans="2:8" ht="12.75">
      <c r="B189" s="286"/>
      <c r="C189" s="286"/>
      <c r="G189" s="281"/>
      <c r="H189" s="234"/>
    </row>
    <row r="190" spans="2:8" ht="12.75">
      <c r="B190" s="291" t="s">
        <v>375</v>
      </c>
      <c r="C190" s="286"/>
      <c r="G190" s="281"/>
      <c r="H190" s="234">
        <f>+G192+G199</f>
        <v>89703000</v>
      </c>
    </row>
    <row r="191" spans="2:8" ht="12.75">
      <c r="B191" s="286"/>
      <c r="C191" s="286"/>
      <c r="G191" s="281"/>
      <c r="H191" s="234"/>
    </row>
    <row r="192" spans="2:8" ht="12.75">
      <c r="B192" s="291" t="s">
        <v>592</v>
      </c>
      <c r="C192" s="286"/>
      <c r="G192" s="287">
        <f>SUM(G193:G196)</f>
        <v>81703000</v>
      </c>
      <c r="H192" s="234"/>
    </row>
    <row r="193" spans="2:8" ht="12.75">
      <c r="B193" s="323" t="s">
        <v>635</v>
      </c>
      <c r="C193" s="286"/>
      <c r="G193" s="324">
        <v>52000000</v>
      </c>
      <c r="H193" s="234"/>
    </row>
    <row r="194" spans="2:8" ht="12.75">
      <c r="B194" s="286" t="s">
        <v>378</v>
      </c>
      <c r="C194" s="286"/>
      <c r="G194" s="281">
        <v>24703000</v>
      </c>
      <c r="H194" s="234"/>
    </row>
    <row r="195" spans="2:8" ht="12.75">
      <c r="B195" s="286" t="s">
        <v>379</v>
      </c>
      <c r="C195" s="286"/>
      <c r="G195" s="281">
        <v>4000000</v>
      </c>
      <c r="H195" s="234"/>
    </row>
    <row r="196" spans="2:8" ht="12.75">
      <c r="B196" s="223" t="s">
        <v>380</v>
      </c>
      <c r="C196" s="286"/>
      <c r="G196" s="281">
        <v>1000000</v>
      </c>
      <c r="H196" s="234"/>
    </row>
    <row r="197" spans="2:8" ht="12.75">
      <c r="B197" s="223"/>
      <c r="C197" s="286"/>
      <c r="G197" s="281"/>
      <c r="H197" s="234"/>
    </row>
    <row r="198" spans="2:8" ht="12.75">
      <c r="B198" s="223"/>
      <c r="C198" s="286"/>
      <c r="G198" s="281"/>
      <c r="H198" s="234"/>
    </row>
    <row r="199" spans="2:8" ht="25.5">
      <c r="B199" s="291" t="s">
        <v>593</v>
      </c>
      <c r="C199" s="286"/>
      <c r="G199" s="287">
        <f>SUM(G200:G201)</f>
        <v>8000000</v>
      </c>
      <c r="H199" s="234"/>
    </row>
    <row r="200" spans="2:7" ht="12.75">
      <c r="B200" s="286" t="s">
        <v>382</v>
      </c>
      <c r="C200" s="286"/>
      <c r="G200" s="281">
        <v>3000000</v>
      </c>
    </row>
    <row r="201" spans="2:7" ht="12.75">
      <c r="B201" s="225" t="s">
        <v>383</v>
      </c>
      <c r="G201" s="281">
        <v>5000000</v>
      </c>
    </row>
    <row r="202" ht="12.75">
      <c r="H202" s="234"/>
    </row>
    <row r="203" ht="12.75">
      <c r="H203" s="234"/>
    </row>
    <row r="204" spans="2:8" ht="12.75">
      <c r="B204" s="283" t="s">
        <v>338</v>
      </c>
      <c r="H204" s="234">
        <f>SUM(G207)</f>
        <v>203000000</v>
      </c>
    </row>
    <row r="205" ht="12.75"/>
    <row r="206" ht="12.75"/>
    <row r="207" spans="2:7" ht="12.75">
      <c r="B207" s="280" t="s">
        <v>339</v>
      </c>
      <c r="G207" s="293">
        <f>SUM(G208:G213)</f>
        <v>203000000</v>
      </c>
    </row>
    <row r="208" spans="2:9" ht="12.75">
      <c r="B208" s="225" t="s">
        <v>340</v>
      </c>
      <c r="G208" s="281">
        <v>25000000</v>
      </c>
      <c r="H208" s="281"/>
      <c r="I208" s="281"/>
    </row>
    <row r="209" spans="2:9" ht="12.75">
      <c r="B209" s="225" t="s">
        <v>239</v>
      </c>
      <c r="G209" s="281">
        <v>50000000</v>
      </c>
      <c r="H209" s="281"/>
      <c r="I209" s="281"/>
    </row>
    <row r="210" spans="2:8" ht="12.75">
      <c r="B210" s="225" t="s">
        <v>341</v>
      </c>
      <c r="G210" s="281">
        <v>14000000</v>
      </c>
      <c r="H210" s="281"/>
    </row>
    <row r="211" spans="2:8" ht="12.75">
      <c r="B211" s="225" t="s">
        <v>343</v>
      </c>
      <c r="G211" s="281">
        <v>100000000</v>
      </c>
      <c r="H211" s="281"/>
    </row>
    <row r="212" spans="2:8" ht="12.75" hidden="1">
      <c r="B212" s="225" t="s">
        <v>344</v>
      </c>
      <c r="G212" s="281">
        <v>0</v>
      </c>
      <c r="H212" s="281"/>
    </row>
    <row r="213" spans="2:7" ht="12.75">
      <c r="B213" s="225" t="s">
        <v>384</v>
      </c>
      <c r="G213" s="281">
        <v>14000000</v>
      </c>
    </row>
    <row r="217" spans="2:8" ht="12.75">
      <c r="B217" s="280" t="s">
        <v>385</v>
      </c>
      <c r="H217" s="295">
        <f>SUM(G220)</f>
        <v>240093184</v>
      </c>
    </row>
    <row r="218" ht="12.75">
      <c r="B218" s="280"/>
    </row>
    <row r="219" ht="12.75">
      <c r="B219" s="280"/>
    </row>
    <row r="220" spans="2:7" ht="12.75">
      <c r="B220" s="280" t="s">
        <v>339</v>
      </c>
      <c r="G220" s="293">
        <f>SUM(G221:G226)</f>
        <v>240093184</v>
      </c>
    </row>
    <row r="221" spans="2:7" ht="12.75">
      <c r="B221" s="225" t="s">
        <v>386</v>
      </c>
      <c r="G221" s="281">
        <v>80093184</v>
      </c>
    </row>
    <row r="222" spans="2:7" ht="12.75">
      <c r="B222" s="225" t="s">
        <v>387</v>
      </c>
      <c r="G222" s="281">
        <v>130000000</v>
      </c>
    </row>
    <row r="223" spans="2:7" ht="12.75">
      <c r="B223" s="225" t="s">
        <v>388</v>
      </c>
      <c r="G223" s="281">
        <v>20000000</v>
      </c>
    </row>
    <row r="224" spans="2:7" ht="12.75">
      <c r="B224" s="225" t="s">
        <v>389</v>
      </c>
      <c r="G224" s="281">
        <v>10000000</v>
      </c>
    </row>
    <row r="228" spans="1:8" ht="15.75">
      <c r="A228" s="392" t="s">
        <v>390</v>
      </c>
      <c r="B228" s="392"/>
      <c r="C228" s="392"/>
      <c r="D228" s="392"/>
      <c r="E228" s="392"/>
      <c r="F228" s="392"/>
      <c r="G228" s="392"/>
      <c r="H228" s="392"/>
    </row>
    <row r="231" spans="2:8" s="296" customFormat="1" ht="15">
      <c r="B231" s="296" t="s">
        <v>390</v>
      </c>
      <c r="H231" s="276">
        <f>+G233</f>
        <v>23273777</v>
      </c>
    </row>
    <row r="233" spans="2:7" ht="12.75">
      <c r="B233" s="280" t="s">
        <v>391</v>
      </c>
      <c r="G233" s="292">
        <f>SUM(G234)</f>
        <v>23273777</v>
      </c>
    </row>
    <row r="234" spans="2:7" ht="12.75">
      <c r="B234" s="225" t="s">
        <v>392</v>
      </c>
      <c r="G234" s="234">
        <f>+'MARCO FISCAL'!B96</f>
        <v>23273777</v>
      </c>
    </row>
    <row r="237" spans="1:8" ht="15.75">
      <c r="A237" s="392" t="s">
        <v>678</v>
      </c>
      <c r="B237" s="392"/>
      <c r="C237" s="392"/>
      <c r="D237" s="392"/>
      <c r="E237" s="392"/>
      <c r="F237" s="392"/>
      <c r="G237" s="392"/>
      <c r="H237" s="392"/>
    </row>
    <row r="240" spans="2:8" s="296" customFormat="1" ht="15">
      <c r="B240" s="296" t="s">
        <v>678</v>
      </c>
      <c r="H240" s="276">
        <f>+G242</f>
        <v>15000000</v>
      </c>
    </row>
    <row r="241" ht="15">
      <c r="B241" s="296"/>
    </row>
    <row r="242" spans="2:7" ht="15">
      <c r="B242" s="296" t="s">
        <v>669</v>
      </c>
      <c r="G242" s="292">
        <v>15000000</v>
      </c>
    </row>
    <row r="243" spans="2:7" ht="15">
      <c r="B243" s="296"/>
      <c r="G243" s="234"/>
    </row>
    <row r="246" spans="2:8" ht="15.75">
      <c r="B246" s="297" t="s">
        <v>393</v>
      </c>
      <c r="H246" s="298">
        <f>+H82+H115+H137+H156+H168+H231+H240</f>
        <v>1457100442</v>
      </c>
    </row>
    <row r="247" spans="2:8" ht="15.75">
      <c r="B247" s="297"/>
      <c r="H247" s="298"/>
    </row>
    <row r="248" spans="2:8" ht="15.75">
      <c r="B248" s="297"/>
      <c r="H248" s="298"/>
    </row>
    <row r="249" spans="2:8" ht="15.75">
      <c r="B249" s="297"/>
      <c r="H249" s="298"/>
    </row>
    <row r="250" spans="2:8" ht="15.75">
      <c r="B250" s="297" t="s">
        <v>394</v>
      </c>
      <c r="C250" s="297"/>
      <c r="D250" s="297"/>
      <c r="E250" s="297"/>
      <c r="F250" s="297"/>
      <c r="G250" s="297"/>
      <c r="H250" s="297">
        <f>+G252+G259</f>
        <v>100000000</v>
      </c>
    </row>
    <row r="251" spans="2:8" ht="12.75">
      <c r="B251" s="251"/>
      <c r="C251" s="234"/>
      <c r="D251" s="234"/>
      <c r="E251" s="234"/>
      <c r="F251" s="234"/>
      <c r="G251" s="234"/>
      <c r="H251" s="234"/>
    </row>
    <row r="252" spans="2:8" ht="12.75">
      <c r="B252" s="249" t="s">
        <v>395</v>
      </c>
      <c r="C252" s="255"/>
      <c r="D252" s="255"/>
      <c r="E252" s="255"/>
      <c r="F252" s="299"/>
      <c r="G252" s="251">
        <f>+SUM(C254:C257)</f>
        <v>39000000</v>
      </c>
      <c r="H252" s="255"/>
    </row>
    <row r="253" spans="2:8" ht="12.75">
      <c r="B253" s="255"/>
      <c r="C253" s="255"/>
      <c r="D253" s="255"/>
      <c r="E253" s="247"/>
      <c r="F253" s="299"/>
      <c r="G253" s="255"/>
      <c r="H253" s="255"/>
    </row>
    <row r="254" spans="2:8" ht="12.75">
      <c r="B254" s="225" t="s">
        <v>396</v>
      </c>
      <c r="C254" s="299">
        <f>+ROUND(100000000*14%,0)</f>
        <v>14000000</v>
      </c>
      <c r="D254" s="247"/>
      <c r="E254" s="247"/>
      <c r="G254" s="223"/>
      <c r="H254" s="234"/>
    </row>
    <row r="255" spans="2:8" ht="12.75">
      <c r="B255" s="225" t="s">
        <v>397</v>
      </c>
      <c r="C255" s="299">
        <f>+ROUND(100000000*13%,0)</f>
        <v>13000000</v>
      </c>
      <c r="D255" s="247"/>
      <c r="E255" s="247"/>
      <c r="G255" s="223"/>
      <c r="H255" s="234"/>
    </row>
    <row r="256" spans="2:8" ht="12.75">
      <c r="B256" s="225" t="s">
        <v>398</v>
      </c>
      <c r="C256" s="299">
        <f>+ROUND(100000000*10%,0)</f>
        <v>10000000</v>
      </c>
      <c r="D256" s="247"/>
      <c r="E256" s="247"/>
      <c r="G256" s="223"/>
      <c r="H256" s="234"/>
    </row>
    <row r="257" spans="2:8" ht="12.75">
      <c r="B257" s="225" t="s">
        <v>399</v>
      </c>
      <c r="C257" s="299">
        <f>+ROUND(100000000*2%,0)</f>
        <v>2000000</v>
      </c>
      <c r="D257" s="247"/>
      <c r="E257" s="247"/>
      <c r="G257" s="223"/>
      <c r="H257" s="234"/>
    </row>
    <row r="258" spans="2:8" ht="12.75">
      <c r="B258" s="251"/>
      <c r="C258" s="299"/>
      <c r="D258" s="247"/>
      <c r="E258" s="247"/>
      <c r="G258" s="223"/>
      <c r="H258" s="234"/>
    </row>
    <row r="259" spans="2:8" ht="12.75">
      <c r="B259" s="251" t="s">
        <v>674</v>
      </c>
      <c r="C259" s="299"/>
      <c r="D259" s="247"/>
      <c r="E259" s="247"/>
      <c r="G259" s="301">
        <f>+ROUND(100000000*61%,0)</f>
        <v>61000000</v>
      </c>
      <c r="H259" s="234"/>
    </row>
    <row r="260" spans="3:8" ht="12.75">
      <c r="C260" s="299"/>
      <c r="D260" s="247"/>
      <c r="E260" s="247"/>
      <c r="G260" s="223"/>
      <c r="H260" s="234"/>
    </row>
    <row r="261" spans="2:8" ht="12.75">
      <c r="B261" s="249" t="s">
        <v>400</v>
      </c>
      <c r="C261" s="247"/>
      <c r="D261" s="247"/>
      <c r="E261" s="247"/>
      <c r="F261" s="299"/>
      <c r="G261" s="223"/>
      <c r="H261" s="251">
        <f>+G252+G259</f>
        <v>100000000</v>
      </c>
    </row>
    <row r="262" spans="2:8" ht="12.75">
      <c r="B262" s="255"/>
      <c r="C262" s="253"/>
      <c r="D262" s="253"/>
      <c r="E262" s="253"/>
      <c r="F262" s="255"/>
      <c r="G262" s="234"/>
      <c r="H262" s="234"/>
    </row>
    <row r="263" spans="2:10" ht="15.75">
      <c r="B263" s="297" t="s">
        <v>401</v>
      </c>
      <c r="C263" s="297"/>
      <c r="D263" s="297"/>
      <c r="E263" s="297"/>
      <c r="F263" s="297"/>
      <c r="G263" s="297"/>
      <c r="H263" s="297">
        <f>+H265+H323+H331</f>
        <v>1332077663.67</v>
      </c>
      <c r="J263" s="224">
        <f>+H263-G35</f>
        <v>40000000</v>
      </c>
    </row>
    <row r="264" spans="2:8" ht="12.75">
      <c r="B264" s="223"/>
      <c r="C264" s="234"/>
      <c r="D264" s="234"/>
      <c r="E264" s="223"/>
      <c r="F264" s="223"/>
      <c r="G264" s="223"/>
      <c r="H264" s="223"/>
    </row>
    <row r="265" spans="2:10" ht="12.75">
      <c r="B265" s="251" t="s">
        <v>28</v>
      </c>
      <c r="C265" s="223"/>
      <c r="D265" s="223"/>
      <c r="E265" s="234"/>
      <c r="F265" s="299"/>
      <c r="G265" s="223"/>
      <c r="H265" s="251">
        <f>+H269+H300</f>
        <v>1292077663.67</v>
      </c>
      <c r="J265" s="224">
        <f>+H265-I265</f>
        <v>1292077663.67</v>
      </c>
    </row>
    <row r="266" spans="2:8" ht="12.75">
      <c r="B266" s="251"/>
      <c r="C266" s="223"/>
      <c r="D266" s="223"/>
      <c r="E266" s="234"/>
      <c r="F266" s="299"/>
      <c r="G266" s="223"/>
      <c r="H266" s="251"/>
    </row>
    <row r="267" spans="2:7" ht="12.75">
      <c r="B267" s="267" t="s">
        <v>402</v>
      </c>
      <c r="C267" s="234"/>
      <c r="D267" s="234"/>
      <c r="E267" s="234"/>
      <c r="F267" s="300"/>
      <c r="G267" s="223"/>
    </row>
    <row r="268" spans="2:8" ht="12.75">
      <c r="B268" s="234"/>
      <c r="C268" s="234"/>
      <c r="D268" s="234"/>
      <c r="E268" s="234"/>
      <c r="F268" s="299"/>
      <c r="G268" s="223"/>
      <c r="H268" s="234"/>
    </row>
    <row r="269" spans="2:8" ht="12.75">
      <c r="B269" s="251" t="s">
        <v>269</v>
      </c>
      <c r="C269" s="234"/>
      <c r="D269" s="234"/>
      <c r="E269" s="234"/>
      <c r="F269" s="299"/>
      <c r="H269" s="251">
        <f>+G270+G282+G286+G293</f>
        <v>1227560732.67</v>
      </c>
    </row>
    <row r="270" spans="2:8" ht="12.75">
      <c r="B270" s="267" t="s">
        <v>402</v>
      </c>
      <c r="C270" s="234"/>
      <c r="D270" s="234"/>
      <c r="E270" s="234"/>
      <c r="F270" s="299"/>
      <c r="G270" s="251">
        <f>+F271+F275</f>
        <v>1038410714</v>
      </c>
      <c r="H270" s="234"/>
    </row>
    <row r="271" spans="2:8" ht="12.75">
      <c r="B271" s="291" t="s">
        <v>403</v>
      </c>
      <c r="C271" s="234"/>
      <c r="D271" s="234"/>
      <c r="E271" s="234"/>
      <c r="F271" s="301">
        <f>+F272+F273</f>
        <v>1025835449</v>
      </c>
      <c r="G271" s="223"/>
      <c r="H271" s="234"/>
    </row>
    <row r="272" spans="2:8" ht="12.75">
      <c r="B272" s="225" t="s">
        <v>404</v>
      </c>
      <c r="E272" s="234"/>
      <c r="F272" s="164">
        <f>+'MARCO FISCAL'!B128</f>
        <v>1025835449</v>
      </c>
      <c r="G272" s="223"/>
      <c r="H272" s="234"/>
    </row>
    <row r="273" spans="5:8" ht="12.75" customHeight="1">
      <c r="E273" s="234"/>
      <c r="F273" s="300"/>
      <c r="G273" s="223"/>
      <c r="H273" s="234"/>
    </row>
    <row r="274" spans="5:8" ht="12.75">
      <c r="E274" s="234"/>
      <c r="F274" s="301"/>
      <c r="G274" s="223"/>
      <c r="H274" s="234"/>
    </row>
    <row r="275" spans="2:8" ht="12.75">
      <c r="B275" s="291" t="s">
        <v>403</v>
      </c>
      <c r="C275" s="248"/>
      <c r="D275" s="248"/>
      <c r="E275" s="234"/>
      <c r="F275" s="251">
        <f>+F276</f>
        <v>12575265</v>
      </c>
      <c r="G275" s="223"/>
      <c r="H275" s="234"/>
    </row>
    <row r="276" spans="2:8" ht="12.75">
      <c r="B276" s="225" t="s">
        <v>405</v>
      </c>
      <c r="C276" s="248"/>
      <c r="D276" s="248"/>
      <c r="E276" s="234"/>
      <c r="F276" s="164">
        <f>+'MARCO FISCAL'!B130</f>
        <v>12575265</v>
      </c>
      <c r="G276" s="223"/>
      <c r="H276" s="234"/>
    </row>
    <row r="277" spans="2:8" ht="12.75">
      <c r="B277" s="234"/>
      <c r="C277" s="248"/>
      <c r="D277" s="248"/>
      <c r="E277" s="234"/>
      <c r="F277" s="164"/>
      <c r="G277" s="223"/>
      <c r="H277" s="234"/>
    </row>
    <row r="278" spans="2:8" ht="12.75">
      <c r="B278" s="248"/>
      <c r="C278" s="248"/>
      <c r="D278" s="248"/>
      <c r="E278" s="234"/>
      <c r="F278" s="301"/>
      <c r="G278" s="223"/>
      <c r="H278" s="234"/>
    </row>
    <row r="279" spans="2:8" ht="12.75">
      <c r="B279" s="255"/>
      <c r="C279" s="255"/>
      <c r="D279" s="255"/>
      <c r="E279" s="234"/>
      <c r="F279" s="299"/>
      <c r="G279" s="223"/>
      <c r="H279" s="234"/>
    </row>
    <row r="280" spans="2:8" ht="12.75">
      <c r="B280" s="267" t="s">
        <v>31</v>
      </c>
      <c r="C280" s="302"/>
      <c r="D280" s="302"/>
      <c r="E280" s="302"/>
      <c r="F280" s="303"/>
      <c r="G280" s="223"/>
      <c r="H280" s="251"/>
    </row>
    <row r="281" spans="2:8" ht="12.75">
      <c r="B281" s="304"/>
      <c r="C281" s="302"/>
      <c r="D281" s="302"/>
      <c r="E281" s="302"/>
      <c r="F281" s="303"/>
      <c r="G281" s="223"/>
      <c r="H281" s="251"/>
    </row>
    <row r="282" spans="2:8" ht="12.75">
      <c r="B282" s="305" t="s">
        <v>409</v>
      </c>
      <c r="C282" s="247"/>
      <c r="D282" s="247"/>
      <c r="E282" s="234"/>
      <c r="F282" s="299"/>
      <c r="G282" s="251">
        <f>+F284</f>
        <v>20000000</v>
      </c>
      <c r="H282" s="234"/>
    </row>
    <row r="283" spans="2:8" ht="12.75">
      <c r="B283" s="291" t="s">
        <v>403</v>
      </c>
      <c r="C283" s="234"/>
      <c r="D283" s="234"/>
      <c r="E283" s="234"/>
      <c r="F283" s="301">
        <f>+F284+F285</f>
        <v>20000000</v>
      </c>
      <c r="G283" s="218"/>
      <c r="H283" s="234"/>
    </row>
    <row r="284" spans="2:8" ht="12.75">
      <c r="B284" s="225" t="s">
        <v>30</v>
      </c>
      <c r="C284" s="247"/>
      <c r="D284" s="247"/>
      <c r="E284" s="234"/>
      <c r="F284" s="299">
        <f>+'MARCO FISCAL'!B137</f>
        <v>20000000</v>
      </c>
      <c r="G284" s="218"/>
      <c r="H284" s="234"/>
    </row>
    <row r="285" spans="2:8" ht="12.75">
      <c r="B285" s="247"/>
      <c r="C285" s="247"/>
      <c r="D285" s="247"/>
      <c r="E285" s="234"/>
      <c r="F285" s="299"/>
      <c r="G285" s="218"/>
      <c r="H285" s="234"/>
    </row>
    <row r="286" spans="2:8" ht="12.75">
      <c r="B286" s="267" t="s">
        <v>201</v>
      </c>
      <c r="C286" s="270"/>
      <c r="D286" s="270"/>
      <c r="E286" s="306"/>
      <c r="F286" s="299"/>
      <c r="G286" s="251">
        <f>+F287</f>
        <v>98842755.67999999</v>
      </c>
      <c r="H286" s="251"/>
    </row>
    <row r="287" spans="2:8" ht="12.75">
      <c r="B287" s="291" t="s">
        <v>403</v>
      </c>
      <c r="C287" s="234"/>
      <c r="D287" s="234"/>
      <c r="E287" s="234"/>
      <c r="F287" s="301">
        <f>+F288+F291</f>
        <v>98842755.67999999</v>
      </c>
      <c r="H287" s="234"/>
    </row>
    <row r="288" spans="2:8" ht="12.75">
      <c r="B288" s="225" t="s">
        <v>30</v>
      </c>
      <c r="C288" s="331"/>
      <c r="D288" s="331"/>
      <c r="E288" s="306"/>
      <c r="F288" s="299">
        <f>SUM(F289:F290)</f>
        <v>98842755.67999999</v>
      </c>
      <c r="G288" s="223"/>
      <c r="H288" s="234"/>
    </row>
    <row r="289" spans="2:8" ht="12.75">
      <c r="B289" s="225" t="s">
        <v>665</v>
      </c>
      <c r="C289" s="331"/>
      <c r="D289" s="331"/>
      <c r="E289" s="306"/>
      <c r="F289" s="299">
        <f>+'MARCO FISCAL'!B147</f>
        <v>92854670.44</v>
      </c>
      <c r="G289" s="223"/>
      <c r="H289" s="234"/>
    </row>
    <row r="290" spans="2:8" ht="12.75">
      <c r="B290" s="225" t="s">
        <v>666</v>
      </c>
      <c r="C290" s="331"/>
      <c r="D290" s="331"/>
      <c r="E290" s="306"/>
      <c r="F290" s="299">
        <f>+'MARCO FISCAL'!B148</f>
        <v>5988085.24</v>
      </c>
      <c r="G290" s="223"/>
      <c r="H290" s="234"/>
    </row>
    <row r="291" spans="2:8" ht="12.75">
      <c r="B291" s="331"/>
      <c r="C291" s="331"/>
      <c r="D291" s="331"/>
      <c r="E291" s="306"/>
      <c r="F291" s="299"/>
      <c r="G291" s="223"/>
      <c r="H291" s="234"/>
    </row>
    <row r="292" spans="2:8" ht="12.75">
      <c r="B292" s="270"/>
      <c r="C292" s="270"/>
      <c r="D292" s="270"/>
      <c r="E292" s="306"/>
      <c r="F292" s="299"/>
      <c r="G292" s="223"/>
      <c r="H292" s="234"/>
    </row>
    <row r="293" spans="2:7" ht="12.75">
      <c r="B293" s="267" t="s">
        <v>410</v>
      </c>
      <c r="C293" s="270"/>
      <c r="D293" s="270"/>
      <c r="E293" s="306"/>
      <c r="F293" s="299"/>
      <c r="G293" s="251">
        <f>+F295</f>
        <v>70307262.99</v>
      </c>
    </row>
    <row r="294" spans="2:8" ht="12.75">
      <c r="B294" s="270"/>
      <c r="C294" s="270"/>
      <c r="D294" s="270"/>
      <c r="E294" s="306"/>
      <c r="F294" s="299"/>
      <c r="G294" s="223"/>
      <c r="H294" s="234"/>
    </row>
    <row r="295" spans="2:8" ht="12.75">
      <c r="B295" s="291" t="s">
        <v>403</v>
      </c>
      <c r="C295" s="234"/>
      <c r="D295" s="234"/>
      <c r="E295" s="234"/>
      <c r="F295" s="301">
        <f>+F296</f>
        <v>70307262.99</v>
      </c>
      <c r="G295" s="223"/>
      <c r="H295" s="234"/>
    </row>
    <row r="296" spans="2:8" ht="12.75">
      <c r="B296" s="225" t="s">
        <v>30</v>
      </c>
      <c r="C296" s="331"/>
      <c r="D296" s="331"/>
      <c r="E296" s="306"/>
      <c r="F296" s="299">
        <f>SUM(F297:F298)</f>
        <v>70307262.99</v>
      </c>
      <c r="G296" s="223"/>
      <c r="H296" s="234"/>
    </row>
    <row r="297" spans="2:8" ht="12.75">
      <c r="B297" s="332" t="s">
        <v>673</v>
      </c>
      <c r="E297" s="306"/>
      <c r="F297" s="299">
        <f>+'MARCO FISCAL'!B154</f>
        <v>69127843.49</v>
      </c>
      <c r="G297" s="223"/>
      <c r="H297" s="234"/>
    </row>
    <row r="298" spans="2:8" ht="12.75">
      <c r="B298" s="225" t="s">
        <v>683</v>
      </c>
      <c r="E298" s="306"/>
      <c r="F298" s="299">
        <f>'MARCO FISCAL'!B155</f>
        <v>1179419.5</v>
      </c>
      <c r="G298" s="223"/>
      <c r="H298" s="234"/>
    </row>
    <row r="299" spans="5:8" ht="12.75">
      <c r="E299" s="306"/>
      <c r="F299" s="299"/>
      <c r="G299" s="223"/>
      <c r="H299" s="234"/>
    </row>
    <row r="300" spans="2:8" ht="12.75">
      <c r="B300" s="251" t="s">
        <v>406</v>
      </c>
      <c r="C300" s="234"/>
      <c r="D300" s="234"/>
      <c r="E300" s="234"/>
      <c r="F300" s="299"/>
      <c r="H300" s="251">
        <f>SUM(F302)</f>
        <v>64516931</v>
      </c>
    </row>
    <row r="301" spans="2:8" ht="12.75">
      <c r="B301" s="234"/>
      <c r="C301" s="234"/>
      <c r="D301" s="234"/>
      <c r="E301" s="234"/>
      <c r="F301" s="299"/>
      <c r="G301" s="234"/>
      <c r="H301" s="234"/>
    </row>
    <row r="302" spans="2:8" ht="12.75">
      <c r="B302" s="251" t="s">
        <v>407</v>
      </c>
      <c r="C302" s="234"/>
      <c r="D302" s="234"/>
      <c r="E302" s="234"/>
      <c r="F302" s="301">
        <f>SUM(F303:F303)</f>
        <v>64516931</v>
      </c>
      <c r="G302" s="234"/>
      <c r="H302" s="234"/>
    </row>
    <row r="303" spans="2:8" ht="12.75">
      <c r="B303" s="225" t="s">
        <v>408</v>
      </c>
      <c r="C303" s="234"/>
      <c r="D303" s="234"/>
      <c r="E303" s="234"/>
      <c r="F303" s="164">
        <f>+'MARCO FISCAL'!B161</f>
        <v>64516931</v>
      </c>
      <c r="G303" s="223"/>
      <c r="H303" s="234"/>
    </row>
    <row r="304" spans="5:8" ht="12.75">
      <c r="E304" s="306"/>
      <c r="F304" s="299"/>
      <c r="G304" s="223"/>
      <c r="H304" s="234"/>
    </row>
    <row r="305" spans="2:8" ht="12.75">
      <c r="B305" s="270"/>
      <c r="C305" s="270"/>
      <c r="D305" s="270"/>
      <c r="E305" s="306"/>
      <c r="F305" s="299"/>
      <c r="G305" s="223"/>
      <c r="H305" s="234"/>
    </row>
    <row r="306" spans="2:8" ht="12.75">
      <c r="B306" s="270"/>
      <c r="C306" s="270"/>
      <c r="D306" s="270"/>
      <c r="E306" s="306"/>
      <c r="F306" s="299"/>
      <c r="G306" s="223"/>
      <c r="H306" s="234"/>
    </row>
    <row r="307" spans="2:8" ht="12.75" customHeight="1" hidden="1">
      <c r="B307" s="267" t="s">
        <v>414</v>
      </c>
      <c r="E307" s="234"/>
      <c r="F307" s="299"/>
      <c r="G307" s="223"/>
      <c r="H307" s="251">
        <v>0</v>
      </c>
    </row>
    <row r="308" spans="5:8" ht="12.75" hidden="1">
      <c r="E308" s="234"/>
      <c r="F308" s="299"/>
      <c r="G308" s="223"/>
      <c r="H308" s="234"/>
    </row>
    <row r="309" spans="5:8" ht="12.75" hidden="1">
      <c r="E309" s="234"/>
      <c r="F309" s="299"/>
      <c r="G309" s="223"/>
      <c r="H309" s="234"/>
    </row>
    <row r="310" spans="2:8" ht="12.75" hidden="1">
      <c r="B310" s="307"/>
      <c r="C310" s="307"/>
      <c r="D310" s="307"/>
      <c r="E310" s="234"/>
      <c r="F310" s="299"/>
      <c r="G310" s="223"/>
      <c r="H310" s="234"/>
    </row>
    <row r="311" spans="2:8" ht="12.75" customHeight="1" hidden="1">
      <c r="B311" s="267" t="s">
        <v>415</v>
      </c>
      <c r="C311" s="267"/>
      <c r="D311" s="267"/>
      <c r="E311" s="234"/>
      <c r="F311" s="299"/>
      <c r="G311" s="234">
        <f>+F313</f>
        <v>0</v>
      </c>
      <c r="H311" s="234"/>
    </row>
    <row r="312" spans="2:8" ht="12.75" hidden="1">
      <c r="B312" s="267"/>
      <c r="C312" s="267"/>
      <c r="D312" s="267"/>
      <c r="E312" s="234"/>
      <c r="F312" s="299"/>
      <c r="G312" s="223"/>
      <c r="H312" s="234"/>
    </row>
    <row r="313" spans="2:8" ht="12.75" customHeight="1" hidden="1">
      <c r="B313" s="225" t="s">
        <v>416</v>
      </c>
      <c r="E313" s="234"/>
      <c r="F313" s="299">
        <v>0</v>
      </c>
      <c r="G313" s="223"/>
      <c r="H313" s="234"/>
    </row>
    <row r="314" spans="5:8" ht="12.75" hidden="1">
      <c r="E314" s="234"/>
      <c r="F314" s="299"/>
      <c r="G314" s="223"/>
      <c r="H314" s="234"/>
    </row>
    <row r="315" spans="5:8" ht="12.75" hidden="1">
      <c r="E315" s="234"/>
      <c r="F315" s="299"/>
      <c r="G315" s="223"/>
      <c r="H315" s="234"/>
    </row>
    <row r="316" spans="2:8" ht="12.75" hidden="1">
      <c r="B316" s="251" t="s">
        <v>417</v>
      </c>
      <c r="C316" s="247"/>
      <c r="D316" s="247"/>
      <c r="E316" s="234"/>
      <c r="F316" s="299"/>
      <c r="G316" s="234">
        <f>+F318</f>
        <v>0</v>
      </c>
      <c r="H316" s="234"/>
    </row>
    <row r="317" spans="2:8" ht="12.75" hidden="1">
      <c r="B317" s="247"/>
      <c r="C317" s="247"/>
      <c r="D317" s="247"/>
      <c r="E317" s="234"/>
      <c r="F317" s="299"/>
      <c r="G317" s="223"/>
      <c r="H317" s="234"/>
    </row>
    <row r="318" spans="2:8" ht="12.75" customHeight="1" hidden="1">
      <c r="B318" s="225" t="s">
        <v>416</v>
      </c>
      <c r="E318" s="234"/>
      <c r="F318" s="299">
        <v>0</v>
      </c>
      <c r="G318" s="223"/>
      <c r="H318" s="234"/>
    </row>
    <row r="319" spans="5:8" ht="12.75" hidden="1">
      <c r="E319" s="234"/>
      <c r="F319" s="299"/>
      <c r="G319" s="223"/>
      <c r="H319" s="234"/>
    </row>
    <row r="320" spans="5:8" ht="12.75" hidden="1">
      <c r="E320" s="234"/>
      <c r="F320" s="299"/>
      <c r="G320" s="223"/>
      <c r="H320" s="234"/>
    </row>
    <row r="321" spans="2:8" ht="12.75" hidden="1">
      <c r="B321" s="247"/>
      <c r="C321" s="247"/>
      <c r="D321" s="247"/>
      <c r="E321" s="234"/>
      <c r="F321" s="299"/>
      <c r="G321" s="223"/>
      <c r="H321" s="234"/>
    </row>
    <row r="322" spans="2:8" ht="12.75">
      <c r="B322" s="270"/>
      <c r="C322" s="270"/>
      <c r="D322" s="270"/>
      <c r="E322" s="234"/>
      <c r="F322" s="299"/>
      <c r="G322" s="223"/>
      <c r="H322" s="234"/>
    </row>
    <row r="323" spans="2:8" ht="12.75">
      <c r="B323" s="251" t="s">
        <v>418</v>
      </c>
      <c r="C323" s="234"/>
      <c r="D323" s="234"/>
      <c r="E323" s="234"/>
      <c r="F323" s="299"/>
      <c r="G323" s="223"/>
      <c r="H323" s="251">
        <f>+G325</f>
        <v>10000000</v>
      </c>
    </row>
    <row r="324" spans="2:8" ht="12.75">
      <c r="B324" s="234"/>
      <c r="C324" s="234"/>
      <c r="D324" s="234"/>
      <c r="E324" s="234"/>
      <c r="F324" s="299"/>
      <c r="G324" s="223"/>
      <c r="H324" s="251"/>
    </row>
    <row r="325" spans="2:8" ht="12.75">
      <c r="B325" s="251" t="s">
        <v>419</v>
      </c>
      <c r="C325" s="234"/>
      <c r="D325" s="234"/>
      <c r="E325" s="234"/>
      <c r="F325" s="299"/>
      <c r="G325" s="234">
        <f>+F327</f>
        <v>10000000</v>
      </c>
      <c r="H325" s="251"/>
    </row>
    <row r="326" spans="2:8" ht="12.75">
      <c r="B326" s="234"/>
      <c r="C326" s="234"/>
      <c r="D326" s="234"/>
      <c r="E326" s="234"/>
      <c r="F326" s="299"/>
      <c r="G326" s="223"/>
      <c r="H326" s="251"/>
    </row>
    <row r="327" spans="2:8" ht="12.75">
      <c r="B327" s="396" t="s">
        <v>420</v>
      </c>
      <c r="C327" s="396"/>
      <c r="D327" s="396"/>
      <c r="E327" s="234"/>
      <c r="F327" s="299">
        <v>10000000</v>
      </c>
      <c r="G327" s="223"/>
      <c r="H327" s="251"/>
    </row>
    <row r="328" spans="2:8" ht="12.75">
      <c r="B328" s="396"/>
      <c r="C328" s="396"/>
      <c r="D328" s="396"/>
      <c r="E328" s="234"/>
      <c r="F328" s="299"/>
      <c r="G328" s="223"/>
      <c r="H328" s="234"/>
    </row>
    <row r="329" spans="2:8" ht="12.75">
      <c r="B329" s="396"/>
      <c r="C329" s="396"/>
      <c r="D329" s="396"/>
      <c r="E329" s="234"/>
      <c r="F329" s="299"/>
      <c r="G329" s="223"/>
      <c r="H329" s="234"/>
    </row>
    <row r="330" spans="2:8" ht="12.75">
      <c r="B330" s="270"/>
      <c r="C330" s="270"/>
      <c r="D330" s="270"/>
      <c r="E330" s="234"/>
      <c r="F330" s="299"/>
      <c r="G330" s="223"/>
      <c r="H330" s="234"/>
    </row>
    <row r="331" spans="2:8" ht="12.75">
      <c r="B331" s="305" t="s">
        <v>35</v>
      </c>
      <c r="C331" s="270"/>
      <c r="D331" s="270"/>
      <c r="E331" s="234"/>
      <c r="F331" s="299"/>
      <c r="G331" s="223"/>
      <c r="H331" s="251">
        <f>+SUM(F333:F335)</f>
        <v>30000000</v>
      </c>
    </row>
    <row r="332" spans="2:8" ht="12.75">
      <c r="B332" s="270"/>
      <c r="C332" s="270"/>
      <c r="D332" s="270"/>
      <c r="E332" s="234"/>
      <c r="F332" s="299"/>
      <c r="G332" s="223"/>
      <c r="H332" s="234"/>
    </row>
    <row r="333" spans="2:8" ht="12.75">
      <c r="B333" s="234" t="s">
        <v>675</v>
      </c>
      <c r="C333" s="270"/>
      <c r="D333" s="270"/>
      <c r="E333" s="234"/>
      <c r="F333" s="299">
        <f>+ROUND(30000000*70%,0)</f>
        <v>21000000</v>
      </c>
      <c r="G333" s="223"/>
      <c r="H333" s="234"/>
    </row>
    <row r="334" spans="2:8" ht="12.75">
      <c r="B334" s="234" t="s">
        <v>421</v>
      </c>
      <c r="C334" s="270"/>
      <c r="D334" s="270"/>
      <c r="E334" s="234"/>
      <c r="F334" s="299">
        <f>+ROUND(30000000*20%,0)</f>
        <v>6000000</v>
      </c>
      <c r="G334" s="223"/>
      <c r="H334" s="234"/>
    </row>
    <row r="335" spans="2:8" ht="12.75">
      <c r="B335" s="234" t="s">
        <v>422</v>
      </c>
      <c r="C335" s="270"/>
      <c r="D335" s="270"/>
      <c r="E335" s="234"/>
      <c r="F335" s="299">
        <f>+ROUND(30000000*10%,0)</f>
        <v>3000000</v>
      </c>
      <c r="G335" s="223"/>
      <c r="H335" s="234"/>
    </row>
    <row r="336" spans="2:8" ht="12.75">
      <c r="B336" s="234"/>
      <c r="C336" s="270"/>
      <c r="D336" s="270"/>
      <c r="E336" s="234"/>
      <c r="F336" s="299"/>
      <c r="G336" s="223"/>
      <c r="H336" s="234"/>
    </row>
    <row r="337" spans="2:8" ht="12.75">
      <c r="B337" s="251" t="s">
        <v>423</v>
      </c>
      <c r="C337" s="270"/>
      <c r="D337" s="270"/>
      <c r="E337" s="234"/>
      <c r="F337" s="299"/>
      <c r="G337" s="223"/>
      <c r="H337" s="251">
        <f>+H265+H307+H323+H331</f>
        <v>1332077663.67</v>
      </c>
    </row>
    <row r="338" spans="2:8" ht="12.75">
      <c r="B338" s="234"/>
      <c r="C338" s="270"/>
      <c r="D338" s="270"/>
      <c r="E338" s="234"/>
      <c r="F338" s="299"/>
      <c r="G338" s="223"/>
      <c r="H338" s="234"/>
    </row>
    <row r="339" spans="2:10" ht="15.75">
      <c r="B339" s="297" t="s">
        <v>424</v>
      </c>
      <c r="C339" s="297"/>
      <c r="D339" s="297"/>
      <c r="E339" s="297"/>
      <c r="F339" s="297"/>
      <c r="G339" s="297"/>
      <c r="H339" s="297">
        <f>+H337+H250+H246+H73</f>
        <v>8329734154.91</v>
      </c>
      <c r="J339" s="224"/>
    </row>
    <row r="340" spans="2:10" ht="15.75">
      <c r="B340" s="297"/>
      <c r="C340" s="297"/>
      <c r="D340" s="297"/>
      <c r="E340" s="297"/>
      <c r="F340" s="297"/>
      <c r="G340" s="297"/>
      <c r="H340" s="297"/>
      <c r="J340" s="224"/>
    </row>
    <row r="341" spans="2:10" ht="15.75">
      <c r="B341" s="297"/>
      <c r="C341" s="297"/>
      <c r="D341" s="297"/>
      <c r="E341" s="297"/>
      <c r="F341" s="297"/>
      <c r="G341" s="297"/>
      <c r="H341" s="297"/>
      <c r="J341" s="224"/>
    </row>
    <row r="342" spans="2:10" ht="15.75">
      <c r="B342" s="297" t="s">
        <v>425</v>
      </c>
      <c r="C342" s="297"/>
      <c r="D342" s="297"/>
      <c r="E342" s="297"/>
      <c r="F342" s="297"/>
      <c r="G342" s="297"/>
      <c r="H342" s="297">
        <f>+H339+H63</f>
        <v>11057978105.67</v>
      </c>
      <c r="J342" s="224"/>
    </row>
    <row r="343" spans="2:10" ht="15.75">
      <c r="B343" s="297"/>
      <c r="C343" s="297"/>
      <c r="D343" s="297"/>
      <c r="E343" s="297"/>
      <c r="F343" s="297"/>
      <c r="G343" s="297"/>
      <c r="H343" s="297"/>
      <c r="J343" s="224"/>
    </row>
    <row r="344" spans="2:10" ht="15.75">
      <c r="B344" s="297"/>
      <c r="C344" s="297"/>
      <c r="D344" s="297"/>
      <c r="E344" s="297"/>
      <c r="F344" s="297"/>
      <c r="G344" s="297"/>
      <c r="H344" s="297"/>
      <c r="J344" s="224"/>
    </row>
    <row r="345" spans="2:10" ht="15.75">
      <c r="B345" s="297"/>
      <c r="C345" s="297"/>
      <c r="D345" s="297"/>
      <c r="E345" s="297"/>
      <c r="F345" s="297"/>
      <c r="G345" s="297"/>
      <c r="H345" s="297"/>
      <c r="J345" s="224"/>
    </row>
    <row r="346" spans="2:10" ht="15.75">
      <c r="B346" s="297" t="s">
        <v>676</v>
      </c>
      <c r="C346" s="297"/>
      <c r="D346" s="297"/>
      <c r="E346" s="297"/>
      <c r="F346" s="297"/>
      <c r="G346" s="297"/>
      <c r="H346" s="297">
        <f>H342</f>
        <v>11057978105.67</v>
      </c>
      <c r="I346" s="224"/>
      <c r="J346" s="224"/>
    </row>
    <row r="347" spans="1:8" ht="12.75">
      <c r="A347" s="261"/>
      <c r="B347" s="251"/>
      <c r="C347" s="234"/>
      <c r="D347" s="234"/>
      <c r="E347" s="234"/>
      <c r="F347" s="234"/>
      <c r="G347" s="234"/>
      <c r="H347" s="234"/>
    </row>
    <row r="348" spans="1:8" ht="19.5" customHeight="1">
      <c r="A348" s="261"/>
      <c r="B348" s="251"/>
      <c r="C348" s="234"/>
      <c r="D348" s="234"/>
      <c r="E348" s="234"/>
      <c r="F348" s="234"/>
      <c r="G348" s="234"/>
      <c r="H348" s="234"/>
    </row>
    <row r="349" spans="1:8" ht="19.5" customHeight="1">
      <c r="A349" s="261"/>
      <c r="B349" s="251"/>
      <c r="C349" s="234"/>
      <c r="D349" s="234"/>
      <c r="E349" s="234"/>
      <c r="F349" s="234"/>
      <c r="G349" s="234"/>
      <c r="H349" s="234"/>
    </row>
    <row r="350" spans="1:8" s="289" customFormat="1" ht="22.5" customHeight="1">
      <c r="A350" s="397" t="s">
        <v>426</v>
      </c>
      <c r="B350" s="397"/>
      <c r="C350" s="397"/>
      <c r="D350" s="397"/>
      <c r="E350" s="397"/>
      <c r="F350" s="397"/>
      <c r="G350" s="397"/>
      <c r="H350" s="397"/>
    </row>
    <row r="351" spans="1:8" ht="22.5" customHeight="1">
      <c r="A351" s="305"/>
      <c r="B351" s="247"/>
      <c r="C351" s="305"/>
      <c r="D351" s="305"/>
      <c r="E351" s="305"/>
      <c r="F351" s="305"/>
      <c r="G351" s="305"/>
      <c r="H351" s="305"/>
    </row>
    <row r="352" spans="1:8" s="277" customFormat="1" ht="21.75" customHeight="1">
      <c r="A352" s="390" t="s">
        <v>0</v>
      </c>
      <c r="B352" s="391"/>
      <c r="C352" s="391"/>
      <c r="D352" s="391"/>
      <c r="E352" s="391"/>
      <c r="F352" s="391"/>
      <c r="G352" s="391"/>
      <c r="H352" s="391"/>
    </row>
    <row r="353" spans="1:8" s="277" customFormat="1" ht="26.25" customHeight="1">
      <c r="A353" s="391"/>
      <c r="B353" s="391"/>
      <c r="C353" s="391"/>
      <c r="D353" s="391"/>
      <c r="E353" s="391"/>
      <c r="F353" s="391"/>
      <c r="G353" s="391"/>
      <c r="H353" s="391"/>
    </row>
    <row r="359" ht="12.75">
      <c r="A359" s="280" t="s">
        <v>679</v>
      </c>
    </row>
    <row r="360" ht="12.75">
      <c r="A360" s="225" t="s">
        <v>427</v>
      </c>
    </row>
  </sheetData>
  <sheetProtection/>
  <mergeCells count="28">
    <mergeCell ref="A23:H23"/>
    <mergeCell ref="A25:H25"/>
    <mergeCell ref="A2:H2"/>
    <mergeCell ref="A3:H3"/>
    <mergeCell ref="A5:H6"/>
    <mergeCell ref="A8:H8"/>
    <mergeCell ref="A9:H9"/>
    <mergeCell ref="A10:H10"/>
    <mergeCell ref="A11:H11"/>
    <mergeCell ref="A13:H13"/>
    <mergeCell ref="A15:H15"/>
    <mergeCell ref="A17:H21"/>
    <mergeCell ref="A166:H166"/>
    <mergeCell ref="A228:H228"/>
    <mergeCell ref="B32:D34"/>
    <mergeCell ref="B46:G47"/>
    <mergeCell ref="A54:H54"/>
    <mergeCell ref="A56:H58"/>
    <mergeCell ref="A61:H61"/>
    <mergeCell ref="A80:H80"/>
    <mergeCell ref="A352:H353"/>
    <mergeCell ref="A237:H237"/>
    <mergeCell ref="A113:H113"/>
    <mergeCell ref="A130:H130"/>
    <mergeCell ref="A135:H135"/>
    <mergeCell ref="A153:H153"/>
    <mergeCell ref="B327:D329"/>
    <mergeCell ref="A350:H350"/>
  </mergeCells>
  <printOptions/>
  <pageMargins left="1.535433070866142" right="0.5511811023622047" top="1.56" bottom="1.07" header="0" footer="0"/>
  <pageSetup horizontalDpi="600" verticalDpi="600" orientation="landscape" paperSize="5" scale="9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F53"/>
  <sheetViews>
    <sheetView zoomScalePageLayoutView="0" workbookViewId="0" topLeftCell="A1">
      <selection activeCell="C9" sqref="C9"/>
    </sheetView>
  </sheetViews>
  <sheetFormatPr defaultColWidth="11.421875" defaultRowHeight="12.75" outlineLevelRow="1"/>
  <cols>
    <col min="1" max="1" width="35.421875" style="132" customWidth="1"/>
    <col min="2" max="2" width="14.57421875" style="132" customWidth="1"/>
    <col min="3" max="3" width="14.7109375" style="132" customWidth="1"/>
    <col min="4" max="4" width="12.00390625" style="133" customWidth="1"/>
    <col min="5" max="5" width="32.140625" style="132" bestFit="1" customWidth="1"/>
    <col min="6" max="6" width="22.7109375" style="132" bestFit="1" customWidth="1"/>
    <col min="7" max="16384" width="11.421875" style="132" customWidth="1"/>
  </cols>
  <sheetData>
    <row r="1" ht="15.75" customHeight="1">
      <c r="A1" s="131" t="s">
        <v>242</v>
      </c>
    </row>
    <row r="2" spans="1:3" ht="12.75" customHeight="1" thickBot="1">
      <c r="A2" s="134"/>
      <c r="B2" s="134"/>
      <c r="C2" s="134"/>
    </row>
    <row r="3" spans="1:4" s="138" customFormat="1" ht="37.5" customHeight="1" thickBot="1">
      <c r="A3" s="135" t="s">
        <v>38</v>
      </c>
      <c r="B3" s="136" t="s">
        <v>243</v>
      </c>
      <c r="C3" s="136" t="s">
        <v>244</v>
      </c>
      <c r="D3" s="137" t="s">
        <v>245</v>
      </c>
    </row>
    <row r="4" spans="1:6" s="144" customFormat="1" ht="44.25" customHeight="1" outlineLevel="1">
      <c r="A4" s="139" t="s">
        <v>246</v>
      </c>
      <c r="B4" s="140">
        <v>7555185835.81</v>
      </c>
      <c r="C4" s="141">
        <v>11312009807.01</v>
      </c>
      <c r="D4" s="142">
        <f aca="true" t="shared" si="0" ref="D4:D13">+C4/B4</f>
        <v>1.4972510343019545</v>
      </c>
      <c r="E4" s="143"/>
      <c r="F4" s="143"/>
    </row>
    <row r="5" spans="1:4" s="144" customFormat="1" ht="26.25" customHeight="1" outlineLevel="1">
      <c r="A5" s="145" t="s">
        <v>2</v>
      </c>
      <c r="B5" s="146">
        <v>5632485198.98</v>
      </c>
      <c r="C5" s="147">
        <v>8646721398.15</v>
      </c>
      <c r="D5" s="148">
        <f t="shared" si="0"/>
        <v>1.5351520852137979</v>
      </c>
    </row>
    <row r="6" spans="1:4" ht="26.25" customHeight="1" outlineLevel="1">
      <c r="A6" s="149" t="s">
        <v>49</v>
      </c>
      <c r="B6" s="150" t="s">
        <v>247</v>
      </c>
      <c r="C6" s="151">
        <v>1750653183.54</v>
      </c>
      <c r="D6" s="148" t="e">
        <f t="shared" si="0"/>
        <v>#VALUE!</v>
      </c>
    </row>
    <row r="7" spans="1:4" ht="17.25" customHeight="1" outlineLevel="1">
      <c r="A7" s="149" t="s">
        <v>248</v>
      </c>
      <c r="B7" s="150">
        <v>19590944</v>
      </c>
      <c r="C7" s="151">
        <v>40293758.61</v>
      </c>
      <c r="D7" s="148">
        <f t="shared" si="0"/>
        <v>2.0567543151570438</v>
      </c>
    </row>
    <row r="8" spans="1:4" ht="26.25" customHeight="1" outlineLevel="1">
      <c r="A8" s="149" t="s">
        <v>6</v>
      </c>
      <c r="B8" s="150" t="s">
        <v>249</v>
      </c>
      <c r="C8" s="151">
        <v>6855774456</v>
      </c>
      <c r="D8" s="148" t="e">
        <f t="shared" si="0"/>
        <v>#VALUE!</v>
      </c>
    </row>
    <row r="9" spans="1:4" ht="26.25" customHeight="1" outlineLevel="1">
      <c r="A9" s="149" t="s">
        <v>250</v>
      </c>
      <c r="B9" s="150" t="s">
        <v>251</v>
      </c>
      <c r="C9" s="151">
        <v>6593716456</v>
      </c>
      <c r="D9" s="148" t="e">
        <f t="shared" si="0"/>
        <v>#VALUE!</v>
      </c>
    </row>
    <row r="10" spans="1:4" ht="11.25" customHeight="1" outlineLevel="1">
      <c r="A10" s="149" t="s">
        <v>252</v>
      </c>
      <c r="B10" s="150">
        <v>57827</v>
      </c>
      <c r="C10" s="151">
        <v>0</v>
      </c>
      <c r="D10" s="148">
        <f t="shared" si="0"/>
        <v>0</v>
      </c>
    </row>
    <row r="11" spans="1:4" ht="11.25" customHeight="1" outlineLevel="1">
      <c r="A11" s="149" t="s">
        <v>253</v>
      </c>
      <c r="B11" s="150">
        <v>240658</v>
      </c>
      <c r="C11" s="151">
        <v>0</v>
      </c>
      <c r="D11" s="148">
        <f t="shared" si="0"/>
        <v>0</v>
      </c>
    </row>
    <row r="12" spans="1:4" ht="11.25" customHeight="1" outlineLevel="1">
      <c r="A12" s="149" t="s">
        <v>254</v>
      </c>
      <c r="B12" s="150" t="s">
        <v>255</v>
      </c>
      <c r="C12" s="151">
        <v>0</v>
      </c>
      <c r="D12" s="148" t="e">
        <f t="shared" si="0"/>
        <v>#VALUE!</v>
      </c>
    </row>
    <row r="13" spans="1:4" ht="11.25" customHeight="1" outlineLevel="1">
      <c r="A13" s="149" t="s">
        <v>256</v>
      </c>
      <c r="B13" s="150">
        <v>291815000</v>
      </c>
      <c r="C13" s="151">
        <v>262058000</v>
      </c>
      <c r="D13" s="148">
        <f t="shared" si="0"/>
        <v>0.8980278601168549</v>
      </c>
    </row>
    <row r="14" spans="1:4" ht="11.25" customHeight="1" outlineLevel="1">
      <c r="A14" s="149" t="s">
        <v>257</v>
      </c>
      <c r="B14" s="150">
        <v>0</v>
      </c>
      <c r="C14" s="151">
        <v>0</v>
      </c>
      <c r="D14" s="148">
        <v>0</v>
      </c>
    </row>
    <row r="15" spans="1:4" s="144" customFormat="1" ht="26.25" customHeight="1" outlineLevel="1">
      <c r="A15" s="145" t="s">
        <v>11</v>
      </c>
      <c r="B15" s="152" t="s">
        <v>258</v>
      </c>
      <c r="C15" s="147">
        <v>2560180552.89</v>
      </c>
      <c r="D15" s="148" t="e">
        <f>+C15/B15</f>
        <v>#VALUE!</v>
      </c>
    </row>
    <row r="16" spans="1:4" ht="11.25" customHeight="1" outlineLevel="1">
      <c r="A16" s="149" t="s">
        <v>259</v>
      </c>
      <c r="B16" s="150">
        <v>2469500</v>
      </c>
      <c r="C16" s="151">
        <v>0</v>
      </c>
      <c r="D16" s="148">
        <f>+C16/B16</f>
        <v>0</v>
      </c>
    </row>
    <row r="17" spans="1:4" ht="26.25" customHeight="1" outlineLevel="1">
      <c r="A17" s="149" t="s">
        <v>260</v>
      </c>
      <c r="B17" s="150" t="s">
        <v>261</v>
      </c>
      <c r="C17" s="151">
        <v>36388504.55</v>
      </c>
      <c r="D17" s="148" t="e">
        <f>+C17/B17</f>
        <v>#VALUE!</v>
      </c>
    </row>
    <row r="18" spans="1:4" ht="17.25" customHeight="1" outlineLevel="1">
      <c r="A18" s="149" t="s">
        <v>262</v>
      </c>
      <c r="B18" s="150">
        <v>14630900</v>
      </c>
      <c r="C18" s="151">
        <v>49981206</v>
      </c>
      <c r="D18" s="148">
        <f>+C18/B18</f>
        <v>3.4161402237729734</v>
      </c>
    </row>
    <row r="19" spans="1:4" ht="26.25" customHeight="1" outlineLevel="1">
      <c r="A19" s="149" t="s">
        <v>263</v>
      </c>
      <c r="B19" s="150">
        <v>0</v>
      </c>
      <c r="C19" s="151">
        <v>3837887</v>
      </c>
      <c r="D19" s="148"/>
    </row>
    <row r="20" spans="1:4" ht="26.25" customHeight="1" outlineLevel="1">
      <c r="A20" s="149" t="s">
        <v>264</v>
      </c>
      <c r="B20" s="150">
        <v>37930992</v>
      </c>
      <c r="C20" s="151">
        <v>35343152</v>
      </c>
      <c r="D20" s="148">
        <f aca="true" t="shared" si="1" ref="D20:D28">+C20/B20</f>
        <v>0.9317750508607843</v>
      </c>
    </row>
    <row r="21" spans="1:4" ht="26.25" customHeight="1" outlineLevel="1">
      <c r="A21" s="149" t="s">
        <v>265</v>
      </c>
      <c r="B21" s="150" t="s">
        <v>266</v>
      </c>
      <c r="C21" s="151">
        <v>70258411.83</v>
      </c>
      <c r="D21" s="148" t="e">
        <f t="shared" si="1"/>
        <v>#VALUE!</v>
      </c>
    </row>
    <row r="22" spans="1:4" ht="26.25" customHeight="1" outlineLevel="1">
      <c r="A22" s="149" t="s">
        <v>267</v>
      </c>
      <c r="B22" s="150">
        <v>4598000</v>
      </c>
      <c r="C22" s="151">
        <v>3834152</v>
      </c>
      <c r="D22" s="148">
        <f t="shared" si="1"/>
        <v>0.833873858199217</v>
      </c>
    </row>
    <row r="23" spans="1:4" ht="26.25" customHeight="1" outlineLevel="1">
      <c r="A23" s="149" t="s">
        <v>268</v>
      </c>
      <c r="B23" s="150">
        <v>2144500</v>
      </c>
      <c r="C23" s="151">
        <v>6114760</v>
      </c>
      <c r="D23" s="148">
        <f t="shared" si="1"/>
        <v>2.851368617393332</v>
      </c>
    </row>
    <row r="24" spans="1:4" ht="26.25" customHeight="1" outlineLevel="1">
      <c r="A24" s="149" t="s">
        <v>17</v>
      </c>
      <c r="B24" s="150">
        <v>1423308061</v>
      </c>
      <c r="C24" s="151">
        <v>1381650443</v>
      </c>
      <c r="D24" s="148">
        <f t="shared" si="1"/>
        <v>0.9707318330153123</v>
      </c>
    </row>
    <row r="25" spans="1:4" ht="26.25" customHeight="1" outlineLevel="1">
      <c r="A25" s="149" t="s">
        <v>58</v>
      </c>
      <c r="B25" s="150">
        <v>106002491</v>
      </c>
      <c r="C25" s="151">
        <v>151348820</v>
      </c>
      <c r="D25" s="148">
        <f t="shared" si="1"/>
        <v>1.427785503644438</v>
      </c>
    </row>
    <row r="26" spans="1:4" ht="26.25" customHeight="1" outlineLevel="1">
      <c r="A26" s="149" t="s">
        <v>269</v>
      </c>
      <c r="B26" s="150">
        <v>643876583</v>
      </c>
      <c r="C26" s="151">
        <v>623561715</v>
      </c>
      <c r="D26" s="148">
        <f t="shared" si="1"/>
        <v>0.9684491274626771</v>
      </c>
    </row>
    <row r="27" spans="1:4" ht="26.25" customHeight="1" outlineLevel="1">
      <c r="A27" s="149" t="s">
        <v>270</v>
      </c>
      <c r="B27" s="150">
        <v>18562537</v>
      </c>
      <c r="C27" s="151">
        <v>25709362</v>
      </c>
      <c r="D27" s="148">
        <f t="shared" si="1"/>
        <v>1.385013373980076</v>
      </c>
    </row>
    <row r="28" spans="1:4" ht="26.25" customHeight="1" outlineLevel="1">
      <c r="A28" s="149" t="s">
        <v>271</v>
      </c>
      <c r="B28" s="150">
        <v>18562537</v>
      </c>
      <c r="C28" s="151">
        <v>10010840</v>
      </c>
      <c r="D28" s="148">
        <f t="shared" si="1"/>
        <v>0.5393034368093111</v>
      </c>
    </row>
    <row r="29" spans="1:4" ht="26.25" customHeight="1" outlineLevel="1">
      <c r="A29" s="149" t="s">
        <v>272</v>
      </c>
      <c r="B29" s="150">
        <v>0</v>
      </c>
      <c r="C29" s="151">
        <v>199728117</v>
      </c>
      <c r="D29" s="148">
        <v>0</v>
      </c>
    </row>
    <row r="30" spans="1:4" ht="26.25" customHeight="1" outlineLevel="1">
      <c r="A30" s="149" t="s">
        <v>273</v>
      </c>
      <c r="B30" s="150">
        <v>633937430</v>
      </c>
      <c r="C30" s="151">
        <v>371291589</v>
      </c>
      <c r="D30" s="148">
        <f aca="true" t="shared" si="2" ref="D30:D38">+C30/B30</f>
        <v>0.5856912235013477</v>
      </c>
    </row>
    <row r="31" spans="1:4" ht="26.25" customHeight="1" outlineLevel="1">
      <c r="A31" s="149" t="s">
        <v>274</v>
      </c>
      <c r="B31" s="150">
        <v>1759480</v>
      </c>
      <c r="C31" s="151">
        <v>3085480</v>
      </c>
      <c r="D31" s="148">
        <f t="shared" si="2"/>
        <v>1.7536317548366562</v>
      </c>
    </row>
    <row r="32" spans="1:4" ht="26.25" customHeight="1" outlineLevel="1">
      <c r="A32" s="149" t="s">
        <v>275</v>
      </c>
      <c r="B32" s="150">
        <v>1759480</v>
      </c>
      <c r="C32" s="151">
        <v>3085480</v>
      </c>
      <c r="D32" s="148">
        <f t="shared" si="2"/>
        <v>1.7536317548366562</v>
      </c>
    </row>
    <row r="33" spans="1:4" ht="26.25" customHeight="1" outlineLevel="1">
      <c r="A33" s="149" t="s">
        <v>211</v>
      </c>
      <c r="B33" s="150" t="s">
        <v>276</v>
      </c>
      <c r="C33" s="151">
        <v>123993841.06</v>
      </c>
      <c r="D33" s="148" t="e">
        <f t="shared" si="2"/>
        <v>#VALUE!</v>
      </c>
    </row>
    <row r="34" spans="1:4" ht="26.25" customHeight="1" outlineLevel="1">
      <c r="A34" s="149" t="s">
        <v>277</v>
      </c>
      <c r="B34" s="150" t="s">
        <v>276</v>
      </c>
      <c r="C34" s="151">
        <v>123993841.06</v>
      </c>
      <c r="D34" s="148" t="e">
        <f t="shared" si="2"/>
        <v>#VALUE!</v>
      </c>
    </row>
    <row r="35" spans="1:4" ht="26.25" customHeight="1" outlineLevel="1">
      <c r="A35" s="149" t="s">
        <v>278</v>
      </c>
      <c r="B35" s="150" t="s">
        <v>279</v>
      </c>
      <c r="C35" s="151">
        <v>837875636.4499999</v>
      </c>
      <c r="D35" s="148" t="e">
        <f t="shared" si="2"/>
        <v>#VALUE!</v>
      </c>
    </row>
    <row r="36" spans="1:4" ht="26.25" customHeight="1" outlineLevel="1">
      <c r="A36" s="149" t="s">
        <v>57</v>
      </c>
      <c r="B36" s="150" t="s">
        <v>280</v>
      </c>
      <c r="C36" s="151">
        <v>281003325.45</v>
      </c>
      <c r="D36" s="148" t="e">
        <f t="shared" si="2"/>
        <v>#VALUE!</v>
      </c>
    </row>
    <row r="37" spans="1:4" ht="26.25" customHeight="1" outlineLevel="1">
      <c r="A37" s="149" t="s">
        <v>281</v>
      </c>
      <c r="B37" s="150">
        <v>308459430</v>
      </c>
      <c r="C37" s="151">
        <v>265604970</v>
      </c>
      <c r="D37" s="148">
        <f t="shared" si="2"/>
        <v>0.8610693795291005</v>
      </c>
    </row>
    <row r="38" spans="1:4" ht="17.25" customHeight="1" outlineLevel="1">
      <c r="A38" s="149" t="s">
        <v>282</v>
      </c>
      <c r="B38" s="150" t="s">
        <v>283</v>
      </c>
      <c r="C38" s="151">
        <v>15398355.45</v>
      </c>
      <c r="D38" s="148" t="e">
        <f t="shared" si="2"/>
        <v>#VALUE!</v>
      </c>
    </row>
    <row r="39" spans="1:4" ht="11.25" customHeight="1" outlineLevel="1">
      <c r="A39" s="149" t="s">
        <v>284</v>
      </c>
      <c r="B39" s="150">
        <v>0</v>
      </c>
      <c r="C39" s="151">
        <v>0</v>
      </c>
      <c r="D39" s="148">
        <v>0</v>
      </c>
    </row>
    <row r="40" spans="1:4" ht="26.25" customHeight="1" outlineLevel="1">
      <c r="A40" s="149" t="s">
        <v>55</v>
      </c>
      <c r="B40" s="150">
        <v>1715622</v>
      </c>
      <c r="C40" s="151">
        <v>556872311</v>
      </c>
      <c r="D40" s="148">
        <f>+C40/B40</f>
        <v>324.5891641632015</v>
      </c>
    </row>
    <row r="41" spans="1:4" ht="17.25" customHeight="1" outlineLevel="1">
      <c r="A41" s="149" t="s">
        <v>285</v>
      </c>
      <c r="B41" s="150">
        <v>1715622</v>
      </c>
      <c r="C41" s="151">
        <v>857811</v>
      </c>
      <c r="D41" s="148">
        <f>+C41/B41</f>
        <v>0.5</v>
      </c>
    </row>
    <row r="42" spans="1:4" ht="11.25" customHeight="1" outlineLevel="1">
      <c r="A42" s="149" t="s">
        <v>286</v>
      </c>
      <c r="B42" s="150">
        <v>0</v>
      </c>
      <c r="C42" s="151">
        <v>206014500</v>
      </c>
      <c r="D42" s="148">
        <v>0</v>
      </c>
    </row>
    <row r="43" spans="1:4" ht="11.25" customHeight="1" outlineLevel="1">
      <c r="A43" s="149" t="s">
        <v>287</v>
      </c>
      <c r="B43" s="150">
        <v>0</v>
      </c>
      <c r="C43" s="151">
        <v>350000000</v>
      </c>
      <c r="D43" s="148">
        <v>0</v>
      </c>
    </row>
    <row r="44" spans="1:4" ht="26.25" customHeight="1" outlineLevel="1">
      <c r="A44" s="149" t="s">
        <v>288</v>
      </c>
      <c r="B44" s="150">
        <v>411444</v>
      </c>
      <c r="C44" s="151">
        <v>7817079</v>
      </c>
      <c r="D44" s="148">
        <f>+C44/B44</f>
        <v>18.99913232420451</v>
      </c>
    </row>
    <row r="45" spans="1:4" ht="11.25" customHeight="1" outlineLevel="1">
      <c r="A45" s="149" t="s">
        <v>289</v>
      </c>
      <c r="B45" s="150">
        <v>0</v>
      </c>
      <c r="C45" s="151">
        <v>0</v>
      </c>
      <c r="D45" s="148"/>
    </row>
    <row r="46" spans="1:4" ht="11.25" customHeight="1" outlineLevel="1">
      <c r="A46" s="149" t="s">
        <v>290</v>
      </c>
      <c r="B46" s="150">
        <v>411444</v>
      </c>
      <c r="C46" s="151">
        <v>0</v>
      </c>
      <c r="D46" s="148">
        <f>+C46/B46</f>
        <v>0</v>
      </c>
    </row>
    <row r="47" spans="1:4" ht="17.25" customHeight="1" outlineLevel="1">
      <c r="A47" s="149" t="s">
        <v>291</v>
      </c>
      <c r="B47" s="150">
        <v>0</v>
      </c>
      <c r="C47" s="151">
        <v>0</v>
      </c>
      <c r="D47" s="148">
        <v>0</v>
      </c>
    </row>
    <row r="48" spans="1:4" ht="26.25" customHeight="1" outlineLevel="1">
      <c r="A48" s="149" t="s">
        <v>37</v>
      </c>
      <c r="B48" s="150" t="s">
        <v>292</v>
      </c>
      <c r="C48" s="151">
        <v>105107855.97</v>
      </c>
      <c r="D48" s="148" t="e">
        <f>+C48/B48</f>
        <v>#VALUE!</v>
      </c>
    </row>
    <row r="49" spans="1:4" ht="11.25" customHeight="1" outlineLevel="1">
      <c r="A49" s="149" t="s">
        <v>293</v>
      </c>
      <c r="B49" s="150">
        <v>0</v>
      </c>
      <c r="C49" s="151">
        <v>0</v>
      </c>
      <c r="D49" s="148">
        <v>0</v>
      </c>
    </row>
    <row r="50" spans="1:4" ht="11.25" customHeight="1" outlineLevel="1">
      <c r="A50" s="149" t="s">
        <v>294</v>
      </c>
      <c r="B50" s="150">
        <v>0</v>
      </c>
      <c r="C50" s="151">
        <v>0</v>
      </c>
      <c r="D50" s="148">
        <v>0</v>
      </c>
    </row>
    <row r="51" spans="1:4" ht="23.25" customHeight="1" outlineLevel="1">
      <c r="A51" s="149" t="s">
        <v>295</v>
      </c>
      <c r="B51" s="150" t="s">
        <v>292</v>
      </c>
      <c r="C51" s="151">
        <v>105107855.97</v>
      </c>
      <c r="D51" s="148" t="e">
        <f>+C51/B51</f>
        <v>#VALUE!</v>
      </c>
    </row>
    <row r="52" spans="1:4" ht="17.25" customHeight="1" outlineLevel="1">
      <c r="A52" s="149" t="s">
        <v>296</v>
      </c>
      <c r="B52" s="150">
        <v>0</v>
      </c>
      <c r="C52" s="151">
        <v>58477193.18000001</v>
      </c>
      <c r="D52" s="148">
        <v>0</v>
      </c>
    </row>
    <row r="53" spans="1:4" ht="17.25" customHeight="1" outlineLevel="1" thickBot="1">
      <c r="A53" s="153" t="s">
        <v>297</v>
      </c>
      <c r="B53" s="154" t="s">
        <v>292</v>
      </c>
      <c r="C53" s="155">
        <v>46630662.79000001</v>
      </c>
      <c r="D53" s="156" t="e">
        <f>+C53/B53</f>
        <v>#VALUE!</v>
      </c>
    </row>
  </sheetData>
  <sheetProtection/>
  <printOptions/>
  <pageMargins left="0.75" right="0.75" top="1" bottom="1" header="0" footer="0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J678"/>
  <sheetViews>
    <sheetView zoomScale="80" zoomScaleNormal="80" zoomScalePageLayoutView="0" workbookViewId="0" topLeftCell="B1">
      <pane ySplit="3" topLeftCell="A236" activePane="bottomLeft" state="frozen"/>
      <selection pane="topLeft" activeCell="B1" sqref="B1"/>
      <selection pane="bottomLeft" activeCell="B271" sqref="B271"/>
    </sheetView>
  </sheetViews>
  <sheetFormatPr defaultColWidth="11.421875" defaultRowHeight="12.75"/>
  <cols>
    <col min="1" max="1" width="37.421875" style="187" hidden="1" customWidth="1"/>
    <col min="2" max="2" width="99.00390625" style="187" customWidth="1"/>
    <col min="3" max="3" width="26.57421875" style="187" hidden="1" customWidth="1"/>
    <col min="4" max="4" width="16.57421875" style="187" hidden="1" customWidth="1"/>
    <col min="5" max="5" width="2.28125" style="187" customWidth="1"/>
    <col min="6" max="6" width="19.28125" style="187" customWidth="1"/>
    <col min="7" max="7" width="20.8515625" style="187" customWidth="1"/>
    <col min="8" max="8" width="21.57421875" style="187" customWidth="1"/>
    <col min="9" max="16384" width="11.421875" style="187" customWidth="1"/>
  </cols>
  <sheetData>
    <row r="1" spans="2:8" ht="18">
      <c r="B1" s="409" t="s">
        <v>634</v>
      </c>
      <c r="C1" s="409"/>
      <c r="D1" s="409"/>
      <c r="E1" s="409"/>
      <c r="F1" s="409"/>
      <c r="G1" s="409"/>
      <c r="H1" s="409"/>
    </row>
    <row r="2" spans="2:8" ht="18">
      <c r="B2" s="245"/>
      <c r="C2" s="245"/>
      <c r="D2" s="245"/>
      <c r="E2" s="245"/>
      <c r="F2" s="245"/>
      <c r="G2" s="245"/>
      <c r="H2" s="245"/>
    </row>
    <row r="3" spans="2:8" ht="12.75">
      <c r="B3" s="235" t="s">
        <v>38</v>
      </c>
      <c r="F3" s="235" t="s">
        <v>631</v>
      </c>
      <c r="G3" s="235" t="s">
        <v>632</v>
      </c>
      <c r="H3" s="235" t="s">
        <v>633</v>
      </c>
    </row>
    <row r="4" spans="1:8" s="197" customFormat="1" ht="18">
      <c r="A4" s="236" t="s">
        <v>319</v>
      </c>
      <c r="B4" s="239" t="s">
        <v>319</v>
      </c>
      <c r="C4" s="236"/>
      <c r="D4" s="236"/>
      <c r="E4" s="236"/>
      <c r="F4" s="236"/>
      <c r="G4" s="236"/>
      <c r="H4" s="236"/>
    </row>
    <row r="5" spans="5:8" ht="12.75">
      <c r="E5" s="198"/>
      <c r="H5" s="163"/>
    </row>
    <row r="6" spans="2:8" ht="12.75">
      <c r="B6" s="198" t="s">
        <v>320</v>
      </c>
      <c r="C6" s="198"/>
      <c r="D6" s="198"/>
      <c r="E6" s="198"/>
      <c r="F6" s="159">
        <f>+F8+F15+F22+F27+F31+F37+F40+F44</f>
        <v>850500000</v>
      </c>
      <c r="G6" s="159">
        <f>+G8+G15+G22+G27+G31+G37+G40+G44</f>
        <v>237012159</v>
      </c>
      <c r="H6" s="179">
        <f aca="true" t="shared" si="0" ref="H6:H39">+F6-G6</f>
        <v>613487841</v>
      </c>
    </row>
    <row r="7" spans="2:8" ht="12.75">
      <c r="B7" s="161"/>
      <c r="H7" s="159"/>
    </row>
    <row r="8" spans="2:8" ht="12.75">
      <c r="B8" s="198" t="s">
        <v>321</v>
      </c>
      <c r="F8" s="159">
        <f>SUM(F9:F13)</f>
        <v>87000000</v>
      </c>
      <c r="G8" s="159">
        <f>SUM(G9:G13)</f>
        <v>74000000</v>
      </c>
      <c r="H8" s="179">
        <f>+F8-G8</f>
        <v>13000000</v>
      </c>
    </row>
    <row r="9" spans="2:8" ht="12.75">
      <c r="B9" s="161" t="s">
        <v>627</v>
      </c>
      <c r="F9" s="201">
        <v>10000000</v>
      </c>
      <c r="G9" s="159"/>
      <c r="H9" s="167">
        <f>+F9-G9</f>
        <v>10000000</v>
      </c>
    </row>
    <row r="10" spans="2:8" ht="12.75">
      <c r="B10" s="161" t="s">
        <v>322</v>
      </c>
      <c r="F10" s="201">
        <v>57000000</v>
      </c>
      <c r="G10" s="163">
        <v>55000000</v>
      </c>
      <c r="H10" s="167">
        <f>+F10-G10</f>
        <v>2000000</v>
      </c>
    </row>
    <row r="11" spans="2:8" ht="12.75">
      <c r="B11" s="161" t="s">
        <v>628</v>
      </c>
      <c r="F11" s="201">
        <v>10000000</v>
      </c>
      <c r="G11" s="163">
        <v>10000000</v>
      </c>
      <c r="H11" s="167">
        <f>+F11-G11</f>
        <v>0</v>
      </c>
    </row>
    <row r="12" spans="2:8" ht="12.75">
      <c r="B12" s="161" t="s">
        <v>323</v>
      </c>
      <c r="F12" s="201">
        <v>9000000</v>
      </c>
      <c r="G12" s="163">
        <v>9000000</v>
      </c>
      <c r="H12" s="167">
        <f t="shared" si="0"/>
        <v>0</v>
      </c>
    </row>
    <row r="13" spans="2:8" ht="12.75">
      <c r="B13" s="205" t="s">
        <v>514</v>
      </c>
      <c r="C13" s="187"/>
      <c r="F13" s="201">
        <v>1000000</v>
      </c>
      <c r="G13" s="163"/>
      <c r="H13" s="167">
        <f t="shared" si="0"/>
        <v>1000000</v>
      </c>
    </row>
    <row r="14" spans="2:8" ht="12.75">
      <c r="B14" s="161"/>
      <c r="H14" s="167">
        <f t="shared" si="0"/>
        <v>0</v>
      </c>
    </row>
    <row r="15" spans="2:8" ht="12.75">
      <c r="B15" s="198" t="s">
        <v>324</v>
      </c>
      <c r="F15" s="159">
        <f>SUM(F16:F19)</f>
        <v>79500000</v>
      </c>
      <c r="G15" s="159">
        <f>SUM(G16:G19)</f>
        <v>65012159</v>
      </c>
      <c r="H15" s="179">
        <f t="shared" si="0"/>
        <v>14487841</v>
      </c>
    </row>
    <row r="16" spans="2:8" ht="12.75">
      <c r="B16" s="205" t="s">
        <v>512</v>
      </c>
      <c r="F16" s="201">
        <v>2500000</v>
      </c>
      <c r="H16" s="167">
        <f t="shared" si="0"/>
        <v>2500000</v>
      </c>
    </row>
    <row r="17" spans="2:8" ht="12.75">
      <c r="B17" s="161" t="s">
        <v>325</v>
      </c>
      <c r="F17" s="201">
        <v>38000000</v>
      </c>
      <c r="G17" s="163">
        <f>7012159+19000000</f>
        <v>26012159</v>
      </c>
      <c r="H17" s="167">
        <f t="shared" si="0"/>
        <v>11987841</v>
      </c>
    </row>
    <row r="18" spans="2:8" ht="12.75">
      <c r="B18" s="161" t="s">
        <v>326</v>
      </c>
      <c r="F18" s="201">
        <v>15000000</v>
      </c>
      <c r="G18" s="163">
        <v>15000000</v>
      </c>
      <c r="H18" s="167">
        <f t="shared" si="0"/>
        <v>0</v>
      </c>
    </row>
    <row r="19" spans="2:8" ht="12.75">
      <c r="B19" s="161" t="s">
        <v>328</v>
      </c>
      <c r="F19" s="201">
        <v>24000000</v>
      </c>
      <c r="G19" s="163">
        <v>24000000</v>
      </c>
      <c r="H19" s="167">
        <f t="shared" si="0"/>
        <v>0</v>
      </c>
    </row>
    <row r="20" spans="2:8" ht="12.75">
      <c r="B20" s="161"/>
      <c r="G20" s="163"/>
      <c r="H20" s="167">
        <f t="shared" si="0"/>
        <v>0</v>
      </c>
    </row>
    <row r="21" spans="2:8" ht="12.75">
      <c r="B21" s="161"/>
      <c r="G21" s="163"/>
      <c r="H21" s="167">
        <f t="shared" si="0"/>
        <v>0</v>
      </c>
    </row>
    <row r="22" spans="2:8" ht="12.75">
      <c r="B22" s="198" t="s">
        <v>329</v>
      </c>
      <c r="F22" s="159">
        <f>SUM(F23:F24)</f>
        <v>269000000</v>
      </c>
      <c r="G22" s="159">
        <f>SUM(G23:G24)</f>
        <v>79000000</v>
      </c>
      <c r="H22" s="179">
        <f t="shared" si="0"/>
        <v>190000000</v>
      </c>
    </row>
    <row r="23" spans="2:8" ht="12.75">
      <c r="B23" s="161" t="s">
        <v>330</v>
      </c>
      <c r="F23" s="201">
        <v>250000000</v>
      </c>
      <c r="G23" s="163">
        <v>60000000</v>
      </c>
      <c r="H23" s="167">
        <f t="shared" si="0"/>
        <v>190000000</v>
      </c>
    </row>
    <row r="24" spans="2:8" ht="12.75">
      <c r="B24" s="161" t="s">
        <v>331</v>
      </c>
      <c r="F24" s="201">
        <v>19000000</v>
      </c>
      <c r="G24" s="163">
        <v>19000000</v>
      </c>
      <c r="H24" s="167">
        <f t="shared" si="0"/>
        <v>0</v>
      </c>
    </row>
    <row r="25" spans="2:8" ht="12.75">
      <c r="B25" s="161"/>
      <c r="G25" s="163"/>
      <c r="H25" s="167">
        <f t="shared" si="0"/>
        <v>0</v>
      </c>
    </row>
    <row r="26" spans="2:8" ht="12.75">
      <c r="B26" s="161"/>
      <c r="G26" s="163"/>
      <c r="H26" s="167">
        <f t="shared" si="0"/>
        <v>0</v>
      </c>
    </row>
    <row r="27" spans="2:8" ht="12.75">
      <c r="B27" s="198" t="s">
        <v>332</v>
      </c>
      <c r="F27" s="159">
        <f>SUM(F28)</f>
        <v>19000000</v>
      </c>
      <c r="G27" s="159">
        <f>SUM(G28)</f>
        <v>10000000</v>
      </c>
      <c r="H27" s="179">
        <f t="shared" si="0"/>
        <v>9000000</v>
      </c>
    </row>
    <row r="28" spans="2:8" ht="12.75">
      <c r="B28" s="161" t="s">
        <v>333</v>
      </c>
      <c r="F28" s="201">
        <v>19000000</v>
      </c>
      <c r="G28" s="163">
        <v>10000000</v>
      </c>
      <c r="H28" s="204">
        <f t="shared" si="0"/>
        <v>9000000</v>
      </c>
    </row>
    <row r="29" spans="2:8" ht="12.75">
      <c r="B29" s="161"/>
      <c r="G29" s="163"/>
      <c r="H29" s="204">
        <f t="shared" si="0"/>
        <v>0</v>
      </c>
    </row>
    <row r="30" spans="2:8" ht="12.75">
      <c r="B30" s="161"/>
      <c r="G30" s="163"/>
      <c r="H30" s="204">
        <f t="shared" si="0"/>
        <v>0</v>
      </c>
    </row>
    <row r="31" spans="2:8" ht="12.75">
      <c r="B31" s="198" t="s">
        <v>334</v>
      </c>
      <c r="F31" s="159">
        <f>SUM(F32:F34)</f>
        <v>14000000</v>
      </c>
      <c r="G31" s="159">
        <f>SUM(G32:G34)</f>
        <v>9000000</v>
      </c>
      <c r="H31" s="179">
        <f t="shared" si="0"/>
        <v>5000000</v>
      </c>
    </row>
    <row r="32" spans="2:8" ht="12.75">
      <c r="B32" s="161" t="s">
        <v>335</v>
      </c>
      <c r="F32" s="201">
        <v>9000000</v>
      </c>
      <c r="G32" s="199">
        <v>4000000</v>
      </c>
      <c r="H32" s="167">
        <f t="shared" si="0"/>
        <v>5000000</v>
      </c>
    </row>
    <row r="33" spans="2:8" ht="12.75">
      <c r="B33" s="161" t="s">
        <v>336</v>
      </c>
      <c r="F33" s="201">
        <v>4000000</v>
      </c>
      <c r="G33" s="199">
        <v>4000000</v>
      </c>
      <c r="H33" s="167">
        <f t="shared" si="0"/>
        <v>0</v>
      </c>
    </row>
    <row r="34" spans="2:8" ht="12.75">
      <c r="B34" s="161" t="s">
        <v>337</v>
      </c>
      <c r="F34" s="201">
        <v>1000000</v>
      </c>
      <c r="G34" s="199">
        <v>1000000</v>
      </c>
      <c r="H34" s="167">
        <f t="shared" si="0"/>
        <v>0</v>
      </c>
    </row>
    <row r="35" ht="12.75">
      <c r="H35" s="167">
        <f t="shared" si="0"/>
        <v>0</v>
      </c>
    </row>
    <row r="36" ht="12.75">
      <c r="H36" s="167">
        <f t="shared" si="0"/>
        <v>0</v>
      </c>
    </row>
    <row r="37" spans="2:8" ht="12.75">
      <c r="B37" s="203" t="s">
        <v>583</v>
      </c>
      <c r="C37" s="201"/>
      <c r="F37" s="219">
        <f>SUM(F38)</f>
        <v>67000000</v>
      </c>
      <c r="G37" s="219">
        <f>SUM(G38)</f>
        <v>0</v>
      </c>
      <c r="H37" s="179">
        <f t="shared" si="0"/>
        <v>67000000</v>
      </c>
    </row>
    <row r="38" spans="2:8" ht="12.75">
      <c r="B38" s="202" t="s">
        <v>516</v>
      </c>
      <c r="F38" s="201">
        <v>67000000</v>
      </c>
      <c r="H38" s="222">
        <f t="shared" si="0"/>
        <v>67000000</v>
      </c>
    </row>
    <row r="39" ht="12.75">
      <c r="H39" s="167">
        <f t="shared" si="0"/>
        <v>0</v>
      </c>
    </row>
    <row r="40" spans="2:8" ht="12.75">
      <c r="B40" s="203" t="s">
        <v>584</v>
      </c>
      <c r="C40" s="201"/>
      <c r="F40" s="159">
        <f>SUM(F41:F42)</f>
        <v>200000000</v>
      </c>
      <c r="G40" s="159">
        <f>SUM(G41:G46)</f>
        <v>0</v>
      </c>
      <c r="H40" s="179">
        <f>+F40-G40</f>
        <v>200000000</v>
      </c>
    </row>
    <row r="41" spans="2:8" ht="12.75">
      <c r="B41" s="202" t="s">
        <v>420</v>
      </c>
      <c r="F41" s="201">
        <v>200000000</v>
      </c>
      <c r="G41" s="187">
        <v>0</v>
      </c>
      <c r="H41" s="167">
        <f>+F41-G41</f>
        <v>200000000</v>
      </c>
    </row>
    <row r="42" ht="12.75">
      <c r="H42" s="204"/>
    </row>
    <row r="43" spans="3:4" ht="12.75">
      <c r="C43" s="188"/>
      <c r="D43" s="191"/>
    </row>
    <row r="44" spans="2:8" ht="12.75">
      <c r="B44" s="203" t="s">
        <v>606</v>
      </c>
      <c r="C44" s="201"/>
      <c r="D44" s="191"/>
      <c r="F44" s="159">
        <f>SUM(F45:F46)</f>
        <v>115000000</v>
      </c>
      <c r="G44" s="159">
        <f>SUM(G45:G46)</f>
        <v>0</v>
      </c>
      <c r="H44" s="179">
        <f>+F44-G44</f>
        <v>115000000</v>
      </c>
    </row>
    <row r="45" spans="2:8" ht="12.75" hidden="1">
      <c r="B45" s="202" t="s">
        <v>493</v>
      </c>
      <c r="C45" s="201">
        <v>6000000</v>
      </c>
      <c r="D45" s="191"/>
      <c r="H45" s="211">
        <f>+F45-G45</f>
        <v>0</v>
      </c>
    </row>
    <row r="46" spans="2:8" ht="12.75">
      <c r="B46" s="202" t="s">
        <v>492</v>
      </c>
      <c r="F46" s="201">
        <v>115000000</v>
      </c>
      <c r="H46" s="167">
        <f>+F46-G46</f>
        <v>115000000</v>
      </c>
    </row>
    <row r="47" ht="12.75"/>
    <row r="48" ht="12.75"/>
    <row r="49" spans="2:8" s="157" customFormat="1" ht="12.75">
      <c r="B49" s="161"/>
      <c r="H49" s="170"/>
    </row>
    <row r="50" spans="1:8" s="157" customFormat="1" ht="18">
      <c r="A50" s="236" t="s">
        <v>338</v>
      </c>
      <c r="B50" s="239" t="s">
        <v>338</v>
      </c>
      <c r="C50" s="236"/>
      <c r="D50" s="236"/>
      <c r="E50" s="236"/>
      <c r="F50" s="236"/>
      <c r="G50" s="236"/>
      <c r="H50" s="236"/>
    </row>
    <row r="51" spans="5:8" s="157" customFormat="1" ht="12.75">
      <c r="E51" s="171"/>
      <c r="H51" s="163"/>
    </row>
    <row r="52" spans="2:8" s="157" customFormat="1" ht="12.75">
      <c r="B52" s="172" t="s">
        <v>338</v>
      </c>
      <c r="F52" s="179">
        <f>+F55</f>
        <v>1519720000</v>
      </c>
      <c r="G52" s="179">
        <f>+G55</f>
        <v>426002079</v>
      </c>
      <c r="H52" s="179">
        <f>+F52-G52</f>
        <v>1093717921</v>
      </c>
    </row>
    <row r="53" s="157" customFormat="1" ht="13.5" customHeight="1">
      <c r="H53" s="163"/>
    </row>
    <row r="54" spans="7:8" s="157" customFormat="1" ht="12.75">
      <c r="G54" s="167"/>
      <c r="H54" s="163"/>
    </row>
    <row r="55" spans="2:8" s="157" customFormat="1" ht="12.75">
      <c r="B55" s="169" t="s">
        <v>339</v>
      </c>
      <c r="F55" s="159">
        <f>SUM(F56:F63)</f>
        <v>1519720000</v>
      </c>
      <c r="G55" s="159">
        <f>SUM(G56:G63)</f>
        <v>426002079</v>
      </c>
      <c r="H55" s="179">
        <f>+F55-G55</f>
        <v>1093717921</v>
      </c>
    </row>
    <row r="56" spans="2:8" s="157" customFormat="1" ht="12.75">
      <c r="B56" s="161" t="s">
        <v>340</v>
      </c>
      <c r="F56" s="201">
        <v>38000000</v>
      </c>
      <c r="G56" s="163">
        <f>10000000+5000000</f>
        <v>15000000</v>
      </c>
      <c r="H56" s="167">
        <f aca="true" t="shared" si="1" ref="H56:H63">+F56-G56</f>
        <v>23000000</v>
      </c>
    </row>
    <row r="57" spans="2:8" s="157" customFormat="1" ht="12.75">
      <c r="B57" s="161" t="s">
        <v>239</v>
      </c>
      <c r="F57" s="201">
        <f>3143000000-2057280000</f>
        <v>1085720000</v>
      </c>
      <c r="G57" s="163">
        <f>50000000+100000000</f>
        <v>150000000</v>
      </c>
      <c r="H57" s="167">
        <f t="shared" si="1"/>
        <v>935720000</v>
      </c>
    </row>
    <row r="58" spans="2:8" s="157" customFormat="1" ht="12.75">
      <c r="B58" s="161" t="s">
        <v>341</v>
      </c>
      <c r="F58" s="201">
        <v>57000000</v>
      </c>
      <c r="G58" s="163">
        <f>30000000+5000000</f>
        <v>35000000</v>
      </c>
      <c r="H58" s="167">
        <f t="shared" si="1"/>
        <v>22000000</v>
      </c>
    </row>
    <row r="59" spans="2:8" s="157" customFormat="1" ht="12.75">
      <c r="B59" s="161" t="s">
        <v>342</v>
      </c>
      <c r="F59" s="201">
        <v>192000000</v>
      </c>
      <c r="G59" s="163">
        <f>100000000+0</f>
        <v>100000000</v>
      </c>
      <c r="H59" s="167">
        <f t="shared" si="1"/>
        <v>92000000</v>
      </c>
    </row>
    <row r="60" spans="2:8" s="157" customFormat="1" ht="12.75">
      <c r="B60" s="161" t="s">
        <v>343</v>
      </c>
      <c r="F60" s="201">
        <v>57000000</v>
      </c>
      <c r="G60" s="163">
        <f>30000000+10000000</f>
        <v>40000000</v>
      </c>
      <c r="H60" s="167">
        <f t="shared" si="1"/>
        <v>17000000</v>
      </c>
    </row>
    <row r="61" spans="2:8" s="157" customFormat="1" ht="12.75">
      <c r="B61" s="161" t="s">
        <v>344</v>
      </c>
      <c r="F61" s="201">
        <v>33000000</v>
      </c>
      <c r="G61" s="163">
        <f>24002079+5000000</f>
        <v>29002079</v>
      </c>
      <c r="H61" s="167">
        <f t="shared" si="1"/>
        <v>3997921</v>
      </c>
    </row>
    <row r="62" spans="2:8" s="157" customFormat="1" ht="12.75">
      <c r="B62" s="161" t="s">
        <v>345</v>
      </c>
      <c r="F62" s="201">
        <v>9000000</v>
      </c>
      <c r="G62" s="163">
        <v>9000000</v>
      </c>
      <c r="H62" s="167">
        <f t="shared" si="1"/>
        <v>0</v>
      </c>
    </row>
    <row r="63" spans="2:8" ht="12.75">
      <c r="B63" s="205" t="s">
        <v>384</v>
      </c>
      <c r="C63" s="157"/>
      <c r="D63" s="157"/>
      <c r="E63" s="157"/>
      <c r="F63" s="201">
        <v>48000000</v>
      </c>
      <c r="G63" s="213">
        <v>48000000</v>
      </c>
      <c r="H63" s="167">
        <f t="shared" si="1"/>
        <v>0</v>
      </c>
    </row>
    <row r="64" ht="12.75"/>
    <row r="65" ht="12.75"/>
    <row r="66" ht="12.75"/>
    <row r="67" ht="12.75"/>
    <row r="68" spans="1:8" s="157" customFormat="1" ht="18">
      <c r="A68" s="237" t="s">
        <v>347</v>
      </c>
      <c r="B68" s="239" t="s">
        <v>348</v>
      </c>
      <c r="C68" s="237"/>
      <c r="D68" s="237"/>
      <c r="E68" s="237"/>
      <c r="F68" s="237"/>
      <c r="G68" s="237"/>
      <c r="H68" s="237"/>
    </row>
    <row r="69" s="157" customFormat="1" ht="12.75">
      <c r="H69" s="163"/>
    </row>
    <row r="70" spans="2:8" s="169" customFormat="1" ht="12.75">
      <c r="B70" s="169" t="s">
        <v>348</v>
      </c>
      <c r="F70" s="179">
        <f>+F73+F80+F84</f>
        <v>384000000</v>
      </c>
      <c r="G70" s="179">
        <f>+G73+G80+G84</f>
        <v>37354491</v>
      </c>
      <c r="H70" s="179">
        <f>+F70-G70</f>
        <v>346645509</v>
      </c>
    </row>
    <row r="71" s="157" customFormat="1" ht="12.75">
      <c r="H71" s="163"/>
    </row>
    <row r="72" s="157" customFormat="1" ht="12.75">
      <c r="H72" s="163"/>
    </row>
    <row r="73" spans="2:8" s="173" customFormat="1" ht="12.75" customHeight="1">
      <c r="B73" s="169" t="s">
        <v>349</v>
      </c>
      <c r="D73" s="170"/>
      <c r="E73" s="170"/>
      <c r="F73" s="174">
        <f>SUM(F74:F77)</f>
        <v>87000000</v>
      </c>
      <c r="G73" s="174">
        <f>SUM(G74:G77)</f>
        <v>29000000</v>
      </c>
      <c r="H73" s="179">
        <f>+F73-G73</f>
        <v>58000000</v>
      </c>
    </row>
    <row r="74" spans="2:10" s="173" customFormat="1" ht="12.75">
      <c r="B74" s="161" t="s">
        <v>350</v>
      </c>
      <c r="F74" s="201">
        <v>14000000</v>
      </c>
      <c r="G74" s="170">
        <v>8000000</v>
      </c>
      <c r="H74" s="167">
        <f>+F74-G74</f>
        <v>6000000</v>
      </c>
      <c r="I74" s="170"/>
      <c r="J74" s="175"/>
    </row>
    <row r="75" spans="2:10" s="173" customFormat="1" ht="12.75" customHeight="1">
      <c r="B75" s="161" t="s">
        <v>351</v>
      </c>
      <c r="F75" s="201">
        <v>19000000</v>
      </c>
      <c r="G75" s="170">
        <v>5000000</v>
      </c>
      <c r="H75" s="167">
        <f>+F75-G75</f>
        <v>14000000</v>
      </c>
      <c r="I75" s="170"/>
      <c r="J75" s="175"/>
    </row>
    <row r="76" spans="2:10" s="173" customFormat="1" ht="12.75" customHeight="1">
      <c r="B76" s="161" t="s">
        <v>352</v>
      </c>
      <c r="F76" s="201">
        <v>6000000</v>
      </c>
      <c r="G76" s="170">
        <v>1000000</v>
      </c>
      <c r="H76" s="167">
        <f>+F76-G76</f>
        <v>5000000</v>
      </c>
      <c r="I76" s="170"/>
      <c r="J76" s="175"/>
    </row>
    <row r="77" spans="2:10" s="173" customFormat="1" ht="12.75" customHeight="1">
      <c r="B77" s="161" t="s">
        <v>353</v>
      </c>
      <c r="F77" s="201">
        <v>48000000</v>
      </c>
      <c r="G77" s="170">
        <v>15000000</v>
      </c>
      <c r="H77" s="167">
        <f>+F77-G77</f>
        <v>33000000</v>
      </c>
      <c r="I77" s="170"/>
      <c r="J77" s="175"/>
    </row>
    <row r="78" spans="2:10" s="173" customFormat="1" ht="12.75" customHeight="1">
      <c r="B78" s="161"/>
      <c r="G78" s="170"/>
      <c r="I78" s="170"/>
      <c r="J78" s="175"/>
    </row>
    <row r="79" s="157" customFormat="1" ht="12.75">
      <c r="G79" s="163"/>
    </row>
    <row r="80" spans="2:8" s="157" customFormat="1" ht="12.75">
      <c r="B80" s="169" t="s">
        <v>354</v>
      </c>
      <c r="C80" s="173"/>
      <c r="D80" s="170"/>
      <c r="E80" s="170"/>
      <c r="F80" s="159">
        <f>SUM(F81)</f>
        <v>57000000</v>
      </c>
      <c r="G80" s="159">
        <f>SUM(G81)</f>
        <v>8354491</v>
      </c>
      <c r="H80" s="179">
        <f>+F80-G80</f>
        <v>48645509</v>
      </c>
    </row>
    <row r="81" spans="2:9" s="157" customFormat="1" ht="12.75">
      <c r="B81" s="161" t="s">
        <v>355</v>
      </c>
      <c r="C81" s="173"/>
      <c r="F81" s="201">
        <v>57000000</v>
      </c>
      <c r="G81" s="170">
        <v>8354491</v>
      </c>
      <c r="H81" s="167">
        <f>+F81-G81</f>
        <v>48645509</v>
      </c>
      <c r="I81" s="170"/>
    </row>
    <row r="82" s="157" customFormat="1" ht="12.75">
      <c r="H82" s="163"/>
    </row>
    <row r="83" ht="12.75"/>
    <row r="84" spans="2:8" s="157" customFormat="1" ht="12.75">
      <c r="B84" s="169" t="s">
        <v>596</v>
      </c>
      <c r="C84" s="188"/>
      <c r="F84" s="180">
        <f>SUM(F85:F86)</f>
        <v>240000000</v>
      </c>
      <c r="G84" s="180">
        <f>SUM(G85:G86)</f>
        <v>0</v>
      </c>
      <c r="H84" s="179">
        <f>+F84-G84</f>
        <v>240000000</v>
      </c>
    </row>
    <row r="85" spans="2:8" ht="12.75">
      <c r="B85" s="212" t="s">
        <v>572</v>
      </c>
      <c r="F85" s="201">
        <v>48000000</v>
      </c>
      <c r="H85" s="222">
        <f>+F85-G85</f>
        <v>48000000</v>
      </c>
    </row>
    <row r="86" spans="2:8" ht="12.75">
      <c r="B86" s="212" t="s">
        <v>571</v>
      </c>
      <c r="F86" s="201">
        <v>192000000</v>
      </c>
      <c r="H86" s="222">
        <f>+F86-G86</f>
        <v>192000000</v>
      </c>
    </row>
    <row r="87" ht="12.75"/>
    <row r="88" ht="12.75"/>
    <row r="89" ht="12.75"/>
    <row r="90" spans="1:8" s="176" customFormat="1" ht="18">
      <c r="A90" s="237" t="s">
        <v>356</v>
      </c>
      <c r="B90" s="239" t="s">
        <v>356</v>
      </c>
      <c r="C90" s="237"/>
      <c r="D90" s="237"/>
      <c r="E90" s="237"/>
      <c r="F90" s="237"/>
      <c r="G90" s="237"/>
      <c r="H90" s="237"/>
    </row>
    <row r="91" spans="1:8" s="157" customFormat="1" ht="12.75">
      <c r="A91" s="177"/>
      <c r="B91" s="177"/>
      <c r="C91" s="177"/>
      <c r="D91" s="177"/>
      <c r="E91" s="177"/>
      <c r="F91" s="177"/>
      <c r="G91" s="177"/>
      <c r="H91" s="177"/>
    </row>
    <row r="92" spans="2:8" s="157" customFormat="1" ht="12.75">
      <c r="B92" s="169" t="s">
        <v>356</v>
      </c>
      <c r="C92" s="169"/>
      <c r="D92" s="169"/>
      <c r="E92" s="169"/>
      <c r="F92" s="180">
        <f>+F95+F102+F117+F122+F127</f>
        <v>1196500000</v>
      </c>
      <c r="G92" s="180">
        <f>+G95+G102+G117+G122+G127</f>
        <v>28015825</v>
      </c>
      <c r="H92" s="179">
        <f>+F92-G92</f>
        <v>1168484175</v>
      </c>
    </row>
    <row r="93" spans="2:8" s="157" customFormat="1" ht="12.75">
      <c r="B93" s="168"/>
      <c r="H93" s="163"/>
    </row>
    <row r="94" spans="2:8" s="157" customFormat="1" ht="12.75">
      <c r="B94" s="168"/>
      <c r="H94" s="163"/>
    </row>
    <row r="95" spans="2:8" s="173" customFormat="1" ht="12.75" customHeight="1">
      <c r="B95" s="218" t="s">
        <v>586</v>
      </c>
      <c r="D95" s="170"/>
      <c r="E95" s="170"/>
      <c r="F95" s="174">
        <f>SUM(F96:F99)</f>
        <v>229000000</v>
      </c>
      <c r="G95" s="174">
        <f>SUM(G96:G99)</f>
        <v>28015825</v>
      </c>
      <c r="H95" s="179">
        <f>+F95-G95</f>
        <v>200984175</v>
      </c>
    </row>
    <row r="96" spans="2:10" s="173" customFormat="1" ht="12.75">
      <c r="B96" s="161" t="s">
        <v>358</v>
      </c>
      <c r="F96" s="201">
        <v>28000000</v>
      </c>
      <c r="G96" s="170">
        <v>10000000</v>
      </c>
      <c r="H96" s="167">
        <f>+F96-G96</f>
        <v>18000000</v>
      </c>
      <c r="I96" s="170"/>
      <c r="J96" s="175"/>
    </row>
    <row r="97" spans="2:10" s="173" customFormat="1" ht="12.75" customHeight="1">
      <c r="B97" s="161" t="s">
        <v>359</v>
      </c>
      <c r="F97" s="201">
        <v>19000000</v>
      </c>
      <c r="G97" s="170">
        <v>9000000</v>
      </c>
      <c r="H97" s="167">
        <f>+F97-G97</f>
        <v>10000000</v>
      </c>
      <c r="I97" s="170"/>
      <c r="J97" s="175"/>
    </row>
    <row r="98" spans="2:10" s="173" customFormat="1" ht="12.75" customHeight="1">
      <c r="B98" s="161" t="s">
        <v>360</v>
      </c>
      <c r="F98" s="201">
        <v>38000000</v>
      </c>
      <c r="G98" s="170">
        <v>9015825</v>
      </c>
      <c r="H98" s="167">
        <f>+F98-G98</f>
        <v>28984175</v>
      </c>
      <c r="I98" s="170"/>
      <c r="J98" s="175"/>
    </row>
    <row r="99" spans="2:10" s="173" customFormat="1" ht="12.75" customHeight="1">
      <c r="B99" s="205" t="s">
        <v>466</v>
      </c>
      <c r="F99" s="201">
        <v>144000000</v>
      </c>
      <c r="G99" s="173">
        <v>0</v>
      </c>
      <c r="H99" s="167">
        <f>+F99-G99</f>
        <v>144000000</v>
      </c>
      <c r="I99" s="170"/>
      <c r="J99" s="175"/>
    </row>
    <row r="100" ht="12.75"/>
    <row r="101" ht="12.75"/>
    <row r="102" spans="2:8" ht="12.75">
      <c r="B102" s="217" t="s">
        <v>585</v>
      </c>
      <c r="C102" s="201"/>
      <c r="F102" s="219">
        <f>+F104+F103</f>
        <v>460500000</v>
      </c>
      <c r="G102" s="219">
        <f>+G104+G103</f>
        <v>0</v>
      </c>
      <c r="H102" s="179">
        <f aca="true" t="shared" si="2" ref="H102:H114">+F102-G102</f>
        <v>460500000</v>
      </c>
    </row>
    <row r="103" spans="2:8" ht="12.75">
      <c r="B103" s="205" t="s">
        <v>630</v>
      </c>
      <c r="C103" s="201"/>
      <c r="F103" s="201">
        <v>10000000</v>
      </c>
      <c r="G103" s="219"/>
      <c r="H103" s="167">
        <f t="shared" si="2"/>
        <v>10000000</v>
      </c>
    </row>
    <row r="104" spans="2:8" ht="12.75">
      <c r="B104" s="205" t="s">
        <v>537</v>
      </c>
      <c r="C104" s="201"/>
      <c r="F104" s="220">
        <f>SUM(F105:F114)</f>
        <v>450500000</v>
      </c>
      <c r="G104" s="187">
        <v>0</v>
      </c>
      <c r="H104" s="167">
        <f t="shared" si="2"/>
        <v>450500000</v>
      </c>
    </row>
    <row r="105" spans="2:8" ht="12.75">
      <c r="B105" s="205" t="s">
        <v>536</v>
      </c>
      <c r="F105" s="201">
        <v>48000000</v>
      </c>
      <c r="H105" s="167">
        <f t="shared" si="2"/>
        <v>48000000</v>
      </c>
    </row>
    <row r="106" spans="2:8" ht="12.75">
      <c r="B106" s="205" t="s">
        <v>535</v>
      </c>
      <c r="F106" s="216">
        <v>60000000</v>
      </c>
      <c r="H106" s="167">
        <f t="shared" si="2"/>
        <v>60000000</v>
      </c>
    </row>
    <row r="107" spans="2:8" ht="12.75">
      <c r="B107" s="205" t="s">
        <v>534</v>
      </c>
      <c r="F107" s="201">
        <v>67000000</v>
      </c>
      <c r="H107" s="167">
        <f t="shared" si="2"/>
        <v>67000000</v>
      </c>
    </row>
    <row r="108" spans="2:8" ht="12.75">
      <c r="B108" s="205" t="s">
        <v>533</v>
      </c>
      <c r="F108" s="201">
        <v>192000000</v>
      </c>
      <c r="H108" s="167">
        <f t="shared" si="2"/>
        <v>192000000</v>
      </c>
    </row>
    <row r="109" spans="2:8" ht="12.75">
      <c r="B109" s="205" t="s">
        <v>532</v>
      </c>
      <c r="F109" s="201">
        <v>8000000</v>
      </c>
      <c r="H109" s="167">
        <f t="shared" si="2"/>
        <v>8000000</v>
      </c>
    </row>
    <row r="110" spans="2:8" ht="12.75">
      <c r="B110" s="205" t="s">
        <v>531</v>
      </c>
      <c r="F110" s="201">
        <v>4000000</v>
      </c>
      <c r="H110" s="167">
        <f t="shared" si="2"/>
        <v>4000000</v>
      </c>
    </row>
    <row r="111" spans="2:8" ht="12.75">
      <c r="B111" s="205" t="s">
        <v>530</v>
      </c>
      <c r="F111" s="201">
        <v>48000000</v>
      </c>
      <c r="H111" s="167">
        <f t="shared" si="2"/>
        <v>48000000</v>
      </c>
    </row>
    <row r="112" spans="2:8" ht="12.75">
      <c r="B112" s="205" t="s">
        <v>529</v>
      </c>
      <c r="F112" s="201">
        <v>14000000</v>
      </c>
      <c r="H112" s="167">
        <f t="shared" si="2"/>
        <v>14000000</v>
      </c>
    </row>
    <row r="113" spans="2:8" ht="12.75">
      <c r="B113" s="205" t="s">
        <v>528</v>
      </c>
      <c r="F113" s="201">
        <v>500000</v>
      </c>
      <c r="H113" s="167">
        <f t="shared" si="2"/>
        <v>500000</v>
      </c>
    </row>
    <row r="114" spans="2:8" ht="12.75">
      <c r="B114" s="205" t="s">
        <v>527</v>
      </c>
      <c r="F114" s="201">
        <v>9000000</v>
      </c>
      <c r="H114" s="167">
        <f t="shared" si="2"/>
        <v>9000000</v>
      </c>
    </row>
    <row r="115" ht="12.75"/>
    <row r="116" ht="12.75"/>
    <row r="117" spans="2:8" ht="12.75">
      <c r="B117" s="217" t="s">
        <v>354</v>
      </c>
      <c r="C117" s="201"/>
      <c r="F117" s="219">
        <f>SUM(F118:F119)</f>
        <v>81000000</v>
      </c>
      <c r="G117" s="219">
        <f>SUM(G118:G119)</f>
        <v>0</v>
      </c>
      <c r="H117" s="179">
        <f>+F117-G117</f>
        <v>81000000</v>
      </c>
    </row>
    <row r="118" spans="2:8" ht="12.75">
      <c r="B118" s="205" t="s">
        <v>486</v>
      </c>
      <c r="F118" s="201">
        <v>14000000</v>
      </c>
      <c r="G118" s="187">
        <v>0</v>
      </c>
      <c r="H118" s="167">
        <f>+F118-G118</f>
        <v>14000000</v>
      </c>
    </row>
    <row r="119" spans="2:8" ht="12.75">
      <c r="B119" s="205" t="s">
        <v>485</v>
      </c>
      <c r="F119" s="201">
        <v>67000000</v>
      </c>
      <c r="G119" s="187">
        <v>0</v>
      </c>
      <c r="H119" s="167">
        <f>+F119-G119</f>
        <v>67000000</v>
      </c>
    </row>
    <row r="120" ht="12.75"/>
    <row r="121" ht="12.75"/>
    <row r="122" spans="2:8" ht="12.75">
      <c r="B122" s="217" t="s">
        <v>587</v>
      </c>
      <c r="C122" s="201"/>
      <c r="F122" s="219">
        <f>SUM(F123:F124)</f>
        <v>133000000</v>
      </c>
      <c r="G122" s="219">
        <f>SUM(G123:G124)</f>
        <v>0</v>
      </c>
      <c r="H122" s="179">
        <f>+F122-G122</f>
        <v>133000000</v>
      </c>
    </row>
    <row r="123" spans="2:8" ht="12.75">
      <c r="B123" s="205" t="s">
        <v>523</v>
      </c>
      <c r="F123" s="201">
        <v>76000000</v>
      </c>
      <c r="H123" s="167">
        <f>+F123-G123</f>
        <v>76000000</v>
      </c>
    </row>
    <row r="124" spans="2:8" ht="12.75">
      <c r="B124" s="205" t="s">
        <v>522</v>
      </c>
      <c r="F124" s="201">
        <v>57000000</v>
      </c>
      <c r="H124" s="167">
        <f>+F124-G124</f>
        <v>57000000</v>
      </c>
    </row>
    <row r="125" spans="2:8" s="207" customFormat="1" ht="12.75">
      <c r="B125" s="223"/>
      <c r="F125" s="208"/>
      <c r="H125" s="224"/>
    </row>
    <row r="126" spans="2:8" s="207" customFormat="1" ht="12.75">
      <c r="B126" s="223"/>
      <c r="F126" s="208"/>
      <c r="H126" s="224"/>
    </row>
    <row r="127" spans="2:8" ht="12.75">
      <c r="B127" s="217" t="s">
        <v>595</v>
      </c>
      <c r="F127" s="219">
        <f>SUM(F128:F132)</f>
        <v>293000000</v>
      </c>
      <c r="G127" s="219">
        <f>SUM(G128:G133)</f>
        <v>0</v>
      </c>
      <c r="H127" s="179">
        <f>+F127-G127</f>
        <v>293000000</v>
      </c>
    </row>
    <row r="128" spans="2:8" ht="12.75">
      <c r="B128" s="212" t="s">
        <v>575</v>
      </c>
      <c r="C128" s="157"/>
      <c r="D128" s="157"/>
      <c r="E128" s="157"/>
      <c r="F128" s="201">
        <v>134000000</v>
      </c>
      <c r="H128" s="167">
        <f>+F128-G128</f>
        <v>134000000</v>
      </c>
    </row>
    <row r="129" spans="2:8" s="157" customFormat="1" ht="12.75">
      <c r="B129" s="212" t="s">
        <v>573</v>
      </c>
      <c r="F129" s="201">
        <v>110000000</v>
      </c>
      <c r="H129" s="167">
        <f>+F129-G129</f>
        <v>110000000</v>
      </c>
    </row>
    <row r="130" spans="2:8" ht="12.75">
      <c r="B130" s="212" t="s">
        <v>570</v>
      </c>
      <c r="F130" s="201">
        <v>48000000</v>
      </c>
      <c r="H130" s="222">
        <f>+F130-G130</f>
        <v>48000000</v>
      </c>
    </row>
    <row r="131" spans="2:8" ht="12.75">
      <c r="B131" s="212" t="s">
        <v>569</v>
      </c>
      <c r="F131" s="201">
        <v>1000000</v>
      </c>
      <c r="H131" s="222">
        <f>+F131-G131</f>
        <v>1000000</v>
      </c>
    </row>
    <row r="132" spans="2:8" s="207" customFormat="1" ht="12.75">
      <c r="B132" s="225"/>
      <c r="C132" s="225"/>
      <c r="D132" s="225"/>
      <c r="E132" s="225"/>
      <c r="F132" s="208"/>
      <c r="H132" s="224"/>
    </row>
    <row r="133" ht="12.75"/>
    <row r="134" ht="12" customHeight="1"/>
    <row r="135" spans="1:8" s="157" customFormat="1" ht="18">
      <c r="A135" s="238" t="s">
        <v>390</v>
      </c>
      <c r="B135" s="239" t="s">
        <v>390</v>
      </c>
      <c r="C135" s="238"/>
      <c r="D135" s="238"/>
      <c r="E135" s="238"/>
      <c r="F135" s="238"/>
      <c r="G135" s="238"/>
      <c r="H135" s="238"/>
    </row>
    <row r="136" s="157" customFormat="1" ht="12.75"/>
    <row r="137" s="157" customFormat="1" ht="12.75"/>
    <row r="138" spans="2:8" s="181" customFormat="1" ht="15">
      <c r="B138" s="181" t="s">
        <v>390</v>
      </c>
      <c r="F138" s="183">
        <f>+F140</f>
        <v>114000000</v>
      </c>
      <c r="G138" s="183">
        <f>+G140</f>
        <v>19187842</v>
      </c>
      <c r="H138" s="179">
        <f>+F138-G138</f>
        <v>94812158</v>
      </c>
    </row>
    <row r="139" s="157" customFormat="1" ht="12.75"/>
    <row r="140" spans="2:8" s="157" customFormat="1" ht="12.75">
      <c r="B140" s="169" t="s">
        <v>391</v>
      </c>
      <c r="F140" s="179">
        <f>SUM(F141)</f>
        <v>114000000</v>
      </c>
      <c r="G140" s="179">
        <f>SUM(G141)</f>
        <v>19187842</v>
      </c>
      <c r="H140" s="179">
        <f>+F140-G140</f>
        <v>94812158</v>
      </c>
    </row>
    <row r="141" spans="2:8" s="157" customFormat="1" ht="12.75">
      <c r="B141" s="157" t="s">
        <v>392</v>
      </c>
      <c r="F141" s="201">
        <v>114000000</v>
      </c>
      <c r="G141" s="163">
        <v>19187842</v>
      </c>
      <c r="H141" s="222">
        <f>+F141-G141</f>
        <v>94812158</v>
      </c>
    </row>
    <row r="142" spans="6:8" s="225" customFormat="1" ht="12.75">
      <c r="F142" s="208"/>
      <c r="G142" s="234"/>
      <c r="H142" s="229"/>
    </row>
    <row r="143" s="157" customFormat="1" ht="12.75">
      <c r="G143" s="163"/>
    </row>
    <row r="144" spans="1:8" s="157" customFormat="1" ht="18">
      <c r="A144" s="239" t="s">
        <v>361</v>
      </c>
      <c r="B144" s="239" t="s">
        <v>361</v>
      </c>
      <c r="C144" s="239"/>
      <c r="D144" s="239"/>
      <c r="E144" s="239"/>
      <c r="F144" s="239"/>
      <c r="G144" s="239"/>
      <c r="H144" s="239"/>
    </row>
    <row r="145" s="157" customFormat="1" ht="12.75">
      <c r="G145" s="163"/>
    </row>
    <row r="146" ht="12.75"/>
    <row r="147" spans="2:8" s="157" customFormat="1" ht="15.75">
      <c r="B147" s="226" t="s">
        <v>362</v>
      </c>
      <c r="F147" s="180">
        <f>+F149</f>
        <v>422000000</v>
      </c>
      <c r="G147" s="180">
        <f>+G149</f>
        <v>235000000</v>
      </c>
      <c r="H147" s="179">
        <f aca="true" t="shared" si="3" ref="H147:H157">+F147-G147</f>
        <v>187000000</v>
      </c>
    </row>
    <row r="148" s="157" customFormat="1" ht="12.75">
      <c r="H148" s="163"/>
    </row>
    <row r="149" spans="2:8" s="157" customFormat="1" ht="12.75">
      <c r="B149" s="169" t="s">
        <v>588</v>
      </c>
      <c r="F149" s="180">
        <f>SUM(F150:F157)</f>
        <v>422000000</v>
      </c>
      <c r="G149" s="180">
        <f>SUM(G150:G157)</f>
        <v>235000000</v>
      </c>
      <c r="H149" s="179">
        <f t="shared" si="3"/>
        <v>187000000</v>
      </c>
    </row>
    <row r="150" spans="2:8" s="157" customFormat="1" ht="12.75">
      <c r="B150" s="161" t="s">
        <v>364</v>
      </c>
      <c r="F150" s="201">
        <v>9000000</v>
      </c>
      <c r="G150" s="170">
        <v>5000000</v>
      </c>
      <c r="H150" s="167">
        <f t="shared" si="3"/>
        <v>4000000</v>
      </c>
    </row>
    <row r="151" spans="2:8" s="157" customFormat="1" ht="12.75">
      <c r="B151" s="161" t="s">
        <v>365</v>
      </c>
      <c r="F151" s="201">
        <v>19000000</v>
      </c>
      <c r="G151" s="170">
        <v>10000000</v>
      </c>
      <c r="H151" s="167">
        <f t="shared" si="3"/>
        <v>9000000</v>
      </c>
    </row>
    <row r="152" spans="2:8" s="157" customFormat="1" ht="12.75">
      <c r="B152" s="161" t="s">
        <v>366</v>
      </c>
      <c r="F152" s="201">
        <v>288000000</v>
      </c>
      <c r="G152" s="170">
        <v>150000000</v>
      </c>
      <c r="H152" s="167">
        <f t="shared" si="3"/>
        <v>138000000</v>
      </c>
    </row>
    <row r="153" spans="2:8" s="157" customFormat="1" ht="12.75">
      <c r="B153" s="161" t="s">
        <v>367</v>
      </c>
      <c r="F153" s="201">
        <v>48000000</v>
      </c>
      <c r="G153" s="170">
        <v>30000000</v>
      </c>
      <c r="H153" s="167">
        <f t="shared" si="3"/>
        <v>18000000</v>
      </c>
    </row>
    <row r="154" spans="2:8" s="240" customFormat="1" ht="12.75">
      <c r="B154" s="241"/>
      <c r="F154" s="242"/>
      <c r="G154" s="243"/>
      <c r="H154" s="244"/>
    </row>
    <row r="155" spans="2:8" s="240" customFormat="1" ht="12.75">
      <c r="B155" s="241"/>
      <c r="F155" s="242"/>
      <c r="G155" s="243"/>
      <c r="H155" s="244"/>
    </row>
    <row r="156" spans="2:8" s="157" customFormat="1" ht="12.75">
      <c r="B156" s="161" t="s">
        <v>368</v>
      </c>
      <c r="F156" s="201">
        <v>48000000</v>
      </c>
      <c r="G156" s="170">
        <v>40000000</v>
      </c>
      <c r="H156" s="167">
        <f t="shared" si="3"/>
        <v>8000000</v>
      </c>
    </row>
    <row r="157" spans="2:8" ht="12.75">
      <c r="B157" s="161" t="s">
        <v>629</v>
      </c>
      <c r="F157" s="201">
        <v>10000000</v>
      </c>
      <c r="H157" s="167">
        <f t="shared" si="3"/>
        <v>10000000</v>
      </c>
    </row>
    <row r="158" ht="12.75"/>
    <row r="159" ht="12.75"/>
    <row r="160" spans="2:8" s="157" customFormat="1" ht="15.75">
      <c r="B160" s="226" t="s">
        <v>369</v>
      </c>
      <c r="F160" s="180">
        <f>+F162+F164</f>
        <v>936000000</v>
      </c>
      <c r="G160" s="180">
        <f>+G162+G164</f>
        <v>249000000</v>
      </c>
      <c r="H160" s="179">
        <f>+F160-G160</f>
        <v>687000000</v>
      </c>
    </row>
    <row r="161" spans="2:8" s="157" customFormat="1" ht="12.75">
      <c r="B161" s="169"/>
      <c r="H161" s="163"/>
    </row>
    <row r="162" spans="2:10" s="157" customFormat="1" ht="12.75">
      <c r="B162" s="169" t="s">
        <v>590</v>
      </c>
      <c r="C162" s="173"/>
      <c r="D162" s="170"/>
      <c r="E162" s="170"/>
      <c r="F162" s="180">
        <f>SUM(F163)</f>
        <v>9000000</v>
      </c>
      <c r="G162" s="180">
        <f>SUM(G163)</f>
        <v>9000000</v>
      </c>
      <c r="H162" s="179">
        <f>+F162-G162</f>
        <v>0</v>
      </c>
      <c r="I162" s="170"/>
      <c r="J162" s="170"/>
    </row>
    <row r="163" spans="2:10" s="157" customFormat="1" ht="12.75">
      <c r="B163" s="161" t="s">
        <v>371</v>
      </c>
      <c r="C163" s="173"/>
      <c r="F163" s="201">
        <v>9000000</v>
      </c>
      <c r="G163" s="170">
        <v>9000000</v>
      </c>
      <c r="H163" s="167">
        <f>+F163-G163</f>
        <v>0</v>
      </c>
      <c r="I163" s="170"/>
      <c r="J163" s="170"/>
    </row>
    <row r="164" spans="2:10" s="157" customFormat="1" ht="12.75">
      <c r="B164" s="169" t="s">
        <v>594</v>
      </c>
      <c r="C164" s="173"/>
      <c r="F164" s="180">
        <f>SUM(F165:F166)</f>
        <v>927000000</v>
      </c>
      <c r="G164" s="180">
        <f>SUM(G165:G166)</f>
        <v>240000000</v>
      </c>
      <c r="H164" s="179">
        <f>+F164-G164</f>
        <v>687000000</v>
      </c>
      <c r="I164" s="170"/>
      <c r="J164" s="170"/>
    </row>
    <row r="165" spans="2:10" s="157" customFormat="1" ht="12.75">
      <c r="B165" s="161" t="s">
        <v>373</v>
      </c>
      <c r="C165" s="173"/>
      <c r="F165" s="201">
        <v>48000000</v>
      </c>
      <c r="G165" s="170">
        <v>40000000</v>
      </c>
      <c r="H165" s="167">
        <f>+F165-G165</f>
        <v>8000000</v>
      </c>
      <c r="I165" s="170"/>
      <c r="J165" s="170"/>
    </row>
    <row r="166" spans="2:8" s="157" customFormat="1" ht="12.75">
      <c r="B166" s="161" t="s">
        <v>374</v>
      </c>
      <c r="C166" s="173"/>
      <c r="F166" s="201">
        <v>879000000</v>
      </c>
      <c r="G166" s="170">
        <v>200000000</v>
      </c>
      <c r="H166" s="167">
        <f>+F166-G166</f>
        <v>679000000</v>
      </c>
    </row>
    <row r="167" ht="12.75"/>
    <row r="168" ht="12.75"/>
    <row r="169" ht="12.75"/>
    <row r="170" spans="2:8" s="157" customFormat="1" ht="15.75">
      <c r="B170" s="227" t="s">
        <v>375</v>
      </c>
      <c r="C170" s="173"/>
      <c r="F170" s="180">
        <f>+F172+F186</f>
        <v>117000000</v>
      </c>
      <c r="G170" s="180">
        <f>+G172+G186</f>
        <v>54000000</v>
      </c>
      <c r="H170" s="179">
        <f aca="true" t="shared" si="4" ref="H170:H182">+F170-G170</f>
        <v>63000000</v>
      </c>
    </row>
    <row r="171" spans="2:8" s="157" customFormat="1" ht="12.75">
      <c r="B171" s="173"/>
      <c r="C171" s="173"/>
      <c r="G171" s="170"/>
      <c r="H171" s="163"/>
    </row>
    <row r="172" spans="2:8" s="157" customFormat="1" ht="12.75">
      <c r="B172" s="169" t="s">
        <v>592</v>
      </c>
      <c r="C172" s="173"/>
      <c r="F172" s="180">
        <f>SUM(F173:F182)</f>
        <v>111000000</v>
      </c>
      <c r="G172" s="180">
        <f>SUM(G173:G182)</f>
        <v>48000000</v>
      </c>
      <c r="H172" s="179">
        <f t="shared" si="4"/>
        <v>63000000</v>
      </c>
    </row>
    <row r="173" spans="2:8" s="157" customFormat="1" ht="12.75">
      <c r="B173" s="173" t="s">
        <v>377</v>
      </c>
      <c r="C173" s="173"/>
      <c r="F173" s="201">
        <v>29000000</v>
      </c>
      <c r="G173" s="221">
        <v>29000000</v>
      </c>
      <c r="H173" s="222">
        <f t="shared" si="4"/>
        <v>0</v>
      </c>
    </row>
    <row r="174" spans="2:8" s="157" customFormat="1" ht="12.75">
      <c r="B174" s="173" t="s">
        <v>378</v>
      </c>
      <c r="C174" s="173"/>
      <c r="F174" s="201">
        <v>17000000</v>
      </c>
      <c r="G174" s="170">
        <v>17000000</v>
      </c>
      <c r="H174" s="222">
        <f t="shared" si="4"/>
        <v>0</v>
      </c>
    </row>
    <row r="175" spans="2:8" s="157" customFormat="1" ht="12.75">
      <c r="B175" s="173" t="s">
        <v>379</v>
      </c>
      <c r="C175" s="173"/>
      <c r="F175" s="201">
        <v>1000000</v>
      </c>
      <c r="G175" s="170">
        <v>1000000</v>
      </c>
      <c r="H175" s="222">
        <f t="shared" si="4"/>
        <v>0</v>
      </c>
    </row>
    <row r="176" spans="2:8" s="157" customFormat="1" ht="12.75">
      <c r="B176" s="157" t="s">
        <v>380</v>
      </c>
      <c r="C176" s="173"/>
      <c r="F176" s="201">
        <v>1000000</v>
      </c>
      <c r="G176" s="170">
        <v>1000000</v>
      </c>
      <c r="H176" s="222">
        <f t="shared" si="4"/>
        <v>0</v>
      </c>
    </row>
    <row r="177" spans="2:8" s="157" customFormat="1" ht="12.75">
      <c r="B177" s="212" t="s">
        <v>568</v>
      </c>
      <c r="F177" s="201">
        <v>1000000</v>
      </c>
      <c r="G177" s="170"/>
      <c r="H177" s="222">
        <f t="shared" si="4"/>
        <v>1000000</v>
      </c>
    </row>
    <row r="178" spans="2:8" s="157" customFormat="1" ht="12.75">
      <c r="B178" s="212" t="s">
        <v>567</v>
      </c>
      <c r="F178" s="201">
        <v>1000000</v>
      </c>
      <c r="G178" s="170"/>
      <c r="H178" s="222">
        <f t="shared" si="4"/>
        <v>1000000</v>
      </c>
    </row>
    <row r="179" spans="2:8" s="157" customFormat="1" ht="12.75">
      <c r="B179" s="202" t="s">
        <v>566</v>
      </c>
      <c r="C179" s="173"/>
      <c r="F179" s="201">
        <v>4000000</v>
      </c>
      <c r="G179" s="170"/>
      <c r="H179" s="222">
        <f t="shared" si="4"/>
        <v>4000000</v>
      </c>
    </row>
    <row r="180" spans="2:8" s="157" customFormat="1" ht="12.75">
      <c r="B180" s="212" t="s">
        <v>565</v>
      </c>
      <c r="C180" s="173"/>
      <c r="F180" s="201">
        <v>38000000</v>
      </c>
      <c r="G180" s="170"/>
      <c r="H180" s="222">
        <f t="shared" si="4"/>
        <v>38000000</v>
      </c>
    </row>
    <row r="181" spans="2:8" s="157" customFormat="1" ht="12.75">
      <c r="B181" s="212" t="s">
        <v>564</v>
      </c>
      <c r="C181" s="173"/>
      <c r="F181" s="201">
        <v>4000000</v>
      </c>
      <c r="G181" s="170"/>
      <c r="H181" s="222">
        <f t="shared" si="4"/>
        <v>4000000</v>
      </c>
    </row>
    <row r="182" spans="2:8" s="157" customFormat="1" ht="12.75">
      <c r="B182" s="212" t="s">
        <v>562</v>
      </c>
      <c r="C182" s="173"/>
      <c r="F182" s="201">
        <v>15000000</v>
      </c>
      <c r="G182" s="170"/>
      <c r="H182" s="222">
        <f t="shared" si="4"/>
        <v>15000000</v>
      </c>
    </row>
    <row r="183" spans="2:8" s="157" customFormat="1" ht="12.75">
      <c r="B183" s="202"/>
      <c r="C183" s="173"/>
      <c r="G183" s="170"/>
      <c r="H183" s="163"/>
    </row>
    <row r="184" spans="2:8" s="157" customFormat="1" ht="12.75">
      <c r="B184" s="161"/>
      <c r="C184" s="173"/>
      <c r="G184" s="170"/>
      <c r="H184" s="163"/>
    </row>
    <row r="185" spans="2:8" s="157" customFormat="1" ht="12.75">
      <c r="B185" s="161"/>
      <c r="C185" s="173"/>
      <c r="G185" s="170"/>
      <c r="H185" s="163"/>
    </row>
    <row r="186" spans="2:8" s="157" customFormat="1" ht="12.75">
      <c r="B186" s="169" t="s">
        <v>593</v>
      </c>
      <c r="C186" s="173"/>
      <c r="F186" s="174">
        <f>SUM(F187:F188)</f>
        <v>6000000</v>
      </c>
      <c r="G186" s="174">
        <f>SUM(G187:G188)</f>
        <v>6000000</v>
      </c>
      <c r="H186" s="179">
        <f>+F186-G186</f>
        <v>0</v>
      </c>
    </row>
    <row r="187" spans="2:8" s="157" customFormat="1" ht="12.75">
      <c r="B187" s="173" t="s">
        <v>382</v>
      </c>
      <c r="C187" s="173"/>
      <c r="F187" s="201">
        <v>3000000</v>
      </c>
      <c r="G187" s="170">
        <v>3000000</v>
      </c>
      <c r="H187" s="222">
        <f>+F187-G187</f>
        <v>0</v>
      </c>
    </row>
    <row r="188" spans="2:8" s="157" customFormat="1" ht="12.75">
      <c r="B188" s="157" t="s">
        <v>383</v>
      </c>
      <c r="F188" s="201">
        <v>3000000</v>
      </c>
      <c r="G188" s="170">
        <v>3000000</v>
      </c>
      <c r="H188" s="222">
        <f>+F188-G188</f>
        <v>0</v>
      </c>
    </row>
    <row r="189" ht="12.75"/>
    <row r="190" ht="12.75"/>
    <row r="191" ht="12.75"/>
    <row r="192" ht="12.75"/>
    <row r="193" spans="2:8" s="157" customFormat="1" ht="15.75">
      <c r="B193" s="226" t="s">
        <v>622</v>
      </c>
      <c r="F193" s="180">
        <f>+F195</f>
        <v>599000000</v>
      </c>
      <c r="G193" s="180">
        <f>+G195</f>
        <v>347167543</v>
      </c>
      <c r="H193" s="179">
        <f>+F193-G193</f>
        <v>251832457</v>
      </c>
    </row>
    <row r="194" s="157" customFormat="1" ht="12.75">
      <c r="B194" s="169"/>
    </row>
    <row r="195" spans="2:8" s="157" customFormat="1" ht="12.75">
      <c r="B195" s="169" t="s">
        <v>339</v>
      </c>
      <c r="F195" s="180">
        <f>SUM(F196:F199)</f>
        <v>599000000</v>
      </c>
      <c r="G195" s="180">
        <f>SUM(G196:G199)</f>
        <v>347167543</v>
      </c>
      <c r="H195" s="179">
        <f>+F195-G195</f>
        <v>251832457</v>
      </c>
    </row>
    <row r="196" spans="2:8" s="157" customFormat="1" ht="12.75">
      <c r="B196" s="157" t="s">
        <v>386</v>
      </c>
      <c r="F196" s="201">
        <v>331000000</v>
      </c>
      <c r="G196" s="170">
        <v>180000000</v>
      </c>
      <c r="H196" s="222">
        <f>+F196-G196</f>
        <v>151000000</v>
      </c>
    </row>
    <row r="197" spans="2:8" s="157" customFormat="1" ht="12.75">
      <c r="B197" s="157" t="s">
        <v>387</v>
      </c>
      <c r="F197" s="201">
        <v>192000000</v>
      </c>
      <c r="G197" s="170">
        <v>140000000</v>
      </c>
      <c r="H197" s="222">
        <f>+F197-G197</f>
        <v>52000000</v>
      </c>
    </row>
    <row r="198" spans="2:8" s="157" customFormat="1" ht="12.75">
      <c r="B198" s="157" t="s">
        <v>388</v>
      </c>
      <c r="F198" s="201">
        <v>48000000</v>
      </c>
      <c r="G198" s="170">
        <v>20000000</v>
      </c>
      <c r="H198" s="222">
        <f>+F198-G198</f>
        <v>28000000</v>
      </c>
    </row>
    <row r="199" spans="2:8" s="157" customFormat="1" ht="12.75">
      <c r="B199" s="157" t="s">
        <v>389</v>
      </c>
      <c r="F199" s="201">
        <v>28000000</v>
      </c>
      <c r="G199" s="170">
        <v>7167543</v>
      </c>
      <c r="H199" s="222">
        <f>+F199-G199</f>
        <v>20832457</v>
      </c>
    </row>
    <row r="200" spans="6:8" s="157" customFormat="1" ht="12.75">
      <c r="F200" s="201"/>
      <c r="G200" s="170"/>
      <c r="H200" s="222"/>
    </row>
    <row r="201" spans="6:8" s="157" customFormat="1" ht="12.75">
      <c r="F201" s="201"/>
      <c r="G201" s="170"/>
      <c r="H201" s="222"/>
    </row>
    <row r="202" s="157" customFormat="1" ht="12.75">
      <c r="G202" s="163"/>
    </row>
    <row r="203" spans="2:8" s="157" customFormat="1" ht="15.75">
      <c r="B203" s="226" t="s">
        <v>621</v>
      </c>
      <c r="F203" s="180">
        <f>+F205+F209+F214+F219+F224</f>
        <v>153100000</v>
      </c>
      <c r="G203" s="180">
        <f>+G205+G209+G214+G219+G224</f>
        <v>0</v>
      </c>
      <c r="H203" s="179">
        <f>+F203-G203</f>
        <v>153100000</v>
      </c>
    </row>
    <row r="204" s="157" customFormat="1" ht="12.75">
      <c r="G204" s="163"/>
    </row>
    <row r="205" spans="2:8" s="157" customFormat="1" ht="12.75">
      <c r="B205" s="169" t="s">
        <v>595</v>
      </c>
      <c r="C205" s="188"/>
      <c r="F205" s="180">
        <f>SUM(F206:F207)</f>
        <v>87000000</v>
      </c>
      <c r="G205" s="180">
        <f>SUM(G206:G207)</f>
        <v>0</v>
      </c>
      <c r="H205" s="179">
        <f>+F205-G205</f>
        <v>87000000</v>
      </c>
    </row>
    <row r="206" spans="2:8" s="157" customFormat="1" ht="12.75">
      <c r="B206" s="212" t="s">
        <v>576</v>
      </c>
      <c r="F206" s="201">
        <v>1000000</v>
      </c>
      <c r="G206" s="163"/>
      <c r="H206" s="222">
        <f>+F206-G206</f>
        <v>1000000</v>
      </c>
    </row>
    <row r="207" spans="2:8" s="157" customFormat="1" ht="12.75">
      <c r="B207" s="212" t="s">
        <v>574</v>
      </c>
      <c r="F207" s="201">
        <v>86000000</v>
      </c>
      <c r="G207" s="163"/>
      <c r="H207" s="222">
        <f>+F207-G207</f>
        <v>86000000</v>
      </c>
    </row>
    <row r="208" spans="2:3" ht="12.75">
      <c r="B208" s="192"/>
      <c r="C208" s="188"/>
    </row>
    <row r="209" spans="2:8" ht="12.75">
      <c r="B209" s="169" t="s">
        <v>597</v>
      </c>
      <c r="C209" s="201"/>
      <c r="F209" s="219">
        <f>SUM(F210:F211)</f>
        <v>18000000</v>
      </c>
      <c r="G209" s="219">
        <f>SUM(G210:G211)</f>
        <v>0</v>
      </c>
      <c r="H209" s="179">
        <f>+F209-G209</f>
        <v>18000000</v>
      </c>
    </row>
    <row r="210" spans="2:8" ht="12.75">
      <c r="B210" s="212" t="s">
        <v>559</v>
      </c>
      <c r="F210" s="201">
        <v>14000000</v>
      </c>
      <c r="H210" s="222">
        <f>+F210-G210</f>
        <v>14000000</v>
      </c>
    </row>
    <row r="211" spans="2:8" ht="12.75">
      <c r="B211" s="212" t="s">
        <v>558</v>
      </c>
      <c r="F211" s="201">
        <v>4000000</v>
      </c>
      <c r="H211" s="222">
        <f>+F211-G211</f>
        <v>4000000</v>
      </c>
    </row>
    <row r="212" spans="2:8" ht="12.75">
      <c r="B212" s="212"/>
      <c r="F212" s="201"/>
      <c r="H212" s="222"/>
    </row>
    <row r="213" spans="2:3" ht="12.75">
      <c r="B213" s="192"/>
      <c r="C213" s="188"/>
    </row>
    <row r="214" spans="2:8" ht="28.5" customHeight="1">
      <c r="B214" s="178" t="s">
        <v>610</v>
      </c>
      <c r="C214" s="201"/>
      <c r="F214" s="219">
        <f>SUM(F215:F216)</f>
        <v>7100000</v>
      </c>
      <c r="G214" s="219">
        <f>SUM(G215:G216)</f>
        <v>0</v>
      </c>
      <c r="H214" s="179">
        <f>+F214-G214</f>
        <v>7100000</v>
      </c>
    </row>
    <row r="215" spans="2:8" ht="12.75">
      <c r="B215" s="212" t="s">
        <v>463</v>
      </c>
      <c r="F215" s="201">
        <v>4800000</v>
      </c>
      <c r="H215" s="222">
        <f>+F215-G215</f>
        <v>4800000</v>
      </c>
    </row>
    <row r="216" spans="2:8" ht="12.75">
      <c r="B216" s="212" t="s">
        <v>461</v>
      </c>
      <c r="F216" s="201">
        <v>2300000</v>
      </c>
      <c r="H216" s="222">
        <f>+F216-G216</f>
        <v>2300000</v>
      </c>
    </row>
    <row r="217" spans="2:3" ht="12.75">
      <c r="B217" s="189"/>
      <c r="C217" s="188"/>
    </row>
    <row r="218" spans="2:3" ht="12.75">
      <c r="B218" s="189"/>
      <c r="C218" s="188"/>
    </row>
    <row r="219" spans="2:8" ht="12.75">
      <c r="B219" s="169" t="s">
        <v>611</v>
      </c>
      <c r="C219" s="201"/>
      <c r="F219" s="219">
        <f>SUM(F220:F221)</f>
        <v>23000000</v>
      </c>
      <c r="G219" s="219">
        <f>SUM(G220:G221)</f>
        <v>0</v>
      </c>
      <c r="H219" s="179">
        <f>+F219-G219</f>
        <v>23000000</v>
      </c>
    </row>
    <row r="220" spans="2:8" ht="12.75">
      <c r="B220" s="212" t="s">
        <v>459</v>
      </c>
      <c r="F220" s="201">
        <v>19000000</v>
      </c>
      <c r="H220" s="222">
        <f>+F220-G220</f>
        <v>19000000</v>
      </c>
    </row>
    <row r="221" spans="2:8" ht="12.75">
      <c r="B221" s="212" t="s">
        <v>458</v>
      </c>
      <c r="F221" s="201">
        <v>4000000</v>
      </c>
      <c r="H221" s="222">
        <f>+F221-G221</f>
        <v>4000000</v>
      </c>
    </row>
    <row r="222" spans="2:3" ht="12.75">
      <c r="B222" s="192"/>
      <c r="C222" s="188"/>
    </row>
    <row r="223" spans="2:3" ht="12.75">
      <c r="B223" s="192"/>
      <c r="C223" s="188"/>
    </row>
    <row r="224" spans="2:8" ht="12.75">
      <c r="B224" s="169" t="s">
        <v>614</v>
      </c>
      <c r="C224" s="201"/>
      <c r="F224" s="219">
        <f>SUM(F225:F226)</f>
        <v>18000000</v>
      </c>
      <c r="G224" s="219">
        <f>SUM(G225:G226)</f>
        <v>0</v>
      </c>
      <c r="H224" s="179">
        <f>+F224-G224</f>
        <v>18000000</v>
      </c>
    </row>
    <row r="225" spans="2:8" ht="12.75">
      <c r="B225" s="212" t="s">
        <v>447</v>
      </c>
      <c r="F225" s="201">
        <v>9000000</v>
      </c>
      <c r="H225" s="222">
        <f>+F225-G225</f>
        <v>9000000</v>
      </c>
    </row>
    <row r="226" spans="2:8" ht="12.75">
      <c r="B226" s="212" t="s">
        <v>446</v>
      </c>
      <c r="F226" s="201">
        <v>9000000</v>
      </c>
      <c r="H226" s="222">
        <f>+F226-G226</f>
        <v>9000000</v>
      </c>
    </row>
    <row r="227" spans="2:8" s="207" customFormat="1" ht="12.75">
      <c r="B227" s="225"/>
      <c r="F227" s="208"/>
      <c r="H227" s="229"/>
    </row>
    <row r="228" spans="2:8" s="207" customFormat="1" ht="12.75">
      <c r="B228" s="225"/>
      <c r="F228" s="208"/>
      <c r="H228" s="229"/>
    </row>
    <row r="229" spans="2:3" ht="12.75">
      <c r="B229" s="192"/>
      <c r="C229" s="188"/>
    </row>
    <row r="230" spans="2:8" ht="15.75">
      <c r="B230" s="226" t="s">
        <v>620</v>
      </c>
      <c r="C230" s="188"/>
      <c r="F230" s="219">
        <f>+F232+F235+F238+F241+F245+F251</f>
        <v>197900000</v>
      </c>
      <c r="G230" s="219">
        <f>+G232+G235+G238+G241+G245</f>
        <v>0</v>
      </c>
      <c r="H230" s="179">
        <f>+F230-G230</f>
        <v>197900000</v>
      </c>
    </row>
    <row r="231" spans="2:3" ht="12.75">
      <c r="B231" s="192"/>
      <c r="C231" s="188"/>
    </row>
    <row r="232" spans="2:8" ht="12.75">
      <c r="B232" s="169" t="s">
        <v>598</v>
      </c>
      <c r="C232" s="201"/>
      <c r="F232" s="219">
        <f>SUM(F233)</f>
        <v>1900000</v>
      </c>
      <c r="G232" s="219">
        <f>SUM(G233)</f>
        <v>0</v>
      </c>
      <c r="H232" s="179">
        <f aca="true" t="shared" si="5" ref="H232:H253">+F232-G232</f>
        <v>1900000</v>
      </c>
    </row>
    <row r="233" spans="2:8" ht="12.75">
      <c r="B233" s="212" t="s">
        <v>555</v>
      </c>
      <c r="F233" s="201">
        <v>1900000</v>
      </c>
      <c r="H233" s="222">
        <f t="shared" si="5"/>
        <v>1900000</v>
      </c>
    </row>
    <row r="234" spans="2:3" ht="12.75">
      <c r="B234" s="192"/>
      <c r="C234" s="188"/>
    </row>
    <row r="235" spans="2:8" ht="12.75">
      <c r="B235" s="169" t="s">
        <v>599</v>
      </c>
      <c r="C235" s="201"/>
      <c r="F235" s="219">
        <f>SUM(F236)</f>
        <v>1000000</v>
      </c>
      <c r="H235" s="179">
        <f t="shared" si="5"/>
        <v>1000000</v>
      </c>
    </row>
    <row r="236" spans="2:8" ht="12.75">
      <c r="B236" s="212" t="s">
        <v>553</v>
      </c>
      <c r="F236" s="201">
        <v>1000000</v>
      </c>
      <c r="H236" s="222">
        <f t="shared" si="5"/>
        <v>1000000</v>
      </c>
    </row>
    <row r="237" spans="2:6" s="207" customFormat="1" ht="12.75">
      <c r="B237" s="209"/>
      <c r="F237" s="208"/>
    </row>
    <row r="238" spans="2:8" ht="12.75">
      <c r="B238" s="169" t="s">
        <v>600</v>
      </c>
      <c r="C238" s="201"/>
      <c r="F238" s="228">
        <f>SUM(F239:F240)</f>
        <v>2000000</v>
      </c>
      <c r="H238" s="179">
        <f t="shared" si="5"/>
        <v>2000000</v>
      </c>
    </row>
    <row r="239" spans="2:8" ht="12.75">
      <c r="B239" s="212" t="s">
        <v>550</v>
      </c>
      <c r="F239" s="201">
        <v>1000000</v>
      </c>
      <c r="H239" s="222">
        <f t="shared" si="5"/>
        <v>1000000</v>
      </c>
    </row>
    <row r="240" spans="2:8" ht="12.75">
      <c r="B240" s="212" t="s">
        <v>549</v>
      </c>
      <c r="F240" s="201">
        <v>1000000</v>
      </c>
      <c r="H240" s="222">
        <f t="shared" si="5"/>
        <v>1000000</v>
      </c>
    </row>
    <row r="241" spans="2:8" ht="12.75">
      <c r="B241" s="169" t="s">
        <v>601</v>
      </c>
      <c r="C241" s="201"/>
      <c r="F241" s="219">
        <f>SUM(F242:F243)</f>
        <v>13000000</v>
      </c>
      <c r="G241" s="219">
        <f>SUM(G242:G243)</f>
        <v>0</v>
      </c>
      <c r="H241" s="179">
        <f t="shared" si="5"/>
        <v>13000000</v>
      </c>
    </row>
    <row r="242" spans="2:8" ht="12.75">
      <c r="B242" s="212" t="s">
        <v>547</v>
      </c>
      <c r="F242" s="201">
        <v>4000000</v>
      </c>
      <c r="H242" s="222">
        <f t="shared" si="5"/>
        <v>4000000</v>
      </c>
    </row>
    <row r="243" spans="2:8" ht="12.75">
      <c r="B243" s="212" t="s">
        <v>546</v>
      </c>
      <c r="F243" s="201">
        <v>9000000</v>
      </c>
      <c r="H243" s="222">
        <f t="shared" si="5"/>
        <v>9000000</v>
      </c>
    </row>
    <row r="244" spans="2:6" ht="12.75">
      <c r="B244" s="209"/>
      <c r="F244" s="201"/>
    </row>
    <row r="245" spans="2:8" ht="12.75">
      <c r="B245" s="169" t="s">
        <v>602</v>
      </c>
      <c r="C245" s="201"/>
      <c r="F245" s="228">
        <f>SUM(F246:F249)</f>
        <v>162000000</v>
      </c>
      <c r="G245" s="228">
        <f>SUM(G246:G249)</f>
        <v>0</v>
      </c>
      <c r="H245" s="179">
        <f t="shared" si="5"/>
        <v>162000000</v>
      </c>
    </row>
    <row r="246" spans="2:8" ht="12.75">
      <c r="B246" s="212" t="s">
        <v>544</v>
      </c>
      <c r="F246" s="201">
        <v>48000000</v>
      </c>
      <c r="H246" s="222">
        <f t="shared" si="5"/>
        <v>48000000</v>
      </c>
    </row>
    <row r="247" spans="2:8" ht="12.75">
      <c r="B247" s="212" t="s">
        <v>543</v>
      </c>
      <c r="F247" s="201">
        <v>9000000</v>
      </c>
      <c r="H247" s="222">
        <f t="shared" si="5"/>
        <v>9000000</v>
      </c>
    </row>
    <row r="248" spans="2:8" ht="12.75">
      <c r="B248" s="212" t="s">
        <v>542</v>
      </c>
      <c r="F248" s="201">
        <v>96000000</v>
      </c>
      <c r="H248" s="222">
        <f t="shared" si="5"/>
        <v>96000000</v>
      </c>
    </row>
    <row r="249" spans="2:8" ht="12.75">
      <c r="B249" s="212" t="s">
        <v>541</v>
      </c>
      <c r="F249" s="201">
        <v>9000000</v>
      </c>
      <c r="H249" s="222">
        <f t="shared" si="5"/>
        <v>9000000</v>
      </c>
    </row>
    <row r="250" ht="12.75"/>
    <row r="251" spans="2:8" ht="12.75">
      <c r="B251" s="169" t="s">
        <v>603</v>
      </c>
      <c r="C251" s="201"/>
      <c r="F251" s="219">
        <f>SUM(F252:F253)</f>
        <v>18000000</v>
      </c>
      <c r="G251" s="219">
        <f>SUM(G252:G253)</f>
        <v>0</v>
      </c>
      <c r="H251" s="179">
        <f t="shared" si="5"/>
        <v>18000000</v>
      </c>
    </row>
    <row r="252" spans="2:8" ht="12.75">
      <c r="B252" s="212" t="s">
        <v>525</v>
      </c>
      <c r="F252" s="201">
        <v>9000000</v>
      </c>
      <c r="H252" s="222">
        <f t="shared" si="5"/>
        <v>9000000</v>
      </c>
    </row>
    <row r="253" spans="2:8" ht="12.75">
      <c r="B253" s="212" t="s">
        <v>524</v>
      </c>
      <c r="F253" s="201">
        <v>9000000</v>
      </c>
      <c r="H253" s="222">
        <f t="shared" si="5"/>
        <v>9000000</v>
      </c>
    </row>
    <row r="254" ht="12.75"/>
    <row r="255" ht="12.75"/>
    <row r="256" ht="12.75"/>
    <row r="257" spans="2:8" ht="15.75">
      <c r="B257" s="226" t="s">
        <v>619</v>
      </c>
      <c r="F257" s="219">
        <f>+F259+F263+F269+F273+F277+F281</f>
        <v>308000000</v>
      </c>
      <c r="G257" s="219">
        <f>+G259+G263+G269+G273+G277+G281</f>
        <v>0</v>
      </c>
      <c r="H257" s="179">
        <f aca="true" t="shared" si="6" ref="H257:H266">+F257-G257</f>
        <v>308000000</v>
      </c>
    </row>
    <row r="258" spans="2:8" ht="15.75">
      <c r="B258" s="226"/>
      <c r="F258" s="219"/>
      <c r="G258" s="219"/>
      <c r="H258" s="179"/>
    </row>
    <row r="259" spans="2:8" ht="12.75">
      <c r="B259" s="169" t="s">
        <v>339</v>
      </c>
      <c r="F259" s="219">
        <f>SUM(F260)</f>
        <v>76000000</v>
      </c>
      <c r="G259" s="219">
        <f>SUM(G260)</f>
        <v>0</v>
      </c>
      <c r="H259" s="179">
        <f t="shared" si="6"/>
        <v>76000000</v>
      </c>
    </row>
    <row r="260" spans="2:8" ht="12.75">
      <c r="B260" s="212" t="s">
        <v>625</v>
      </c>
      <c r="F260" s="201">
        <v>76000000</v>
      </c>
      <c r="H260" s="222">
        <f t="shared" si="6"/>
        <v>76000000</v>
      </c>
    </row>
    <row r="261" spans="2:3" ht="12.75">
      <c r="B261" s="189"/>
      <c r="C261" s="188"/>
    </row>
    <row r="262" spans="2:3" ht="12.75">
      <c r="B262" s="189"/>
      <c r="C262" s="188"/>
    </row>
    <row r="263" spans="2:8" ht="12.75">
      <c r="B263" s="169" t="s">
        <v>604</v>
      </c>
      <c r="C263" s="201"/>
      <c r="F263" s="219">
        <f>SUM(F264:F266)</f>
        <v>28000000</v>
      </c>
      <c r="G263" s="219">
        <f>SUM(G264:G266)</f>
        <v>0</v>
      </c>
      <c r="H263" s="179">
        <f t="shared" si="6"/>
        <v>28000000</v>
      </c>
    </row>
    <row r="264" spans="2:8" ht="12.75">
      <c r="B264" s="212" t="s">
        <v>520</v>
      </c>
      <c r="F264" s="201">
        <v>19000000</v>
      </c>
      <c r="H264" s="222">
        <f t="shared" si="6"/>
        <v>19000000</v>
      </c>
    </row>
    <row r="265" spans="2:8" ht="12.75">
      <c r="B265" s="212" t="s">
        <v>519</v>
      </c>
      <c r="F265" s="201">
        <v>5000000</v>
      </c>
      <c r="H265" s="222">
        <f t="shared" si="6"/>
        <v>5000000</v>
      </c>
    </row>
    <row r="266" spans="2:8" ht="12.75">
      <c r="B266" s="212" t="s">
        <v>518</v>
      </c>
      <c r="F266" s="201">
        <v>4000000</v>
      </c>
      <c r="H266" s="222">
        <f t="shared" si="6"/>
        <v>4000000</v>
      </c>
    </row>
    <row r="267" ht="12.75"/>
    <row r="268" ht="12.75"/>
    <row r="269" spans="2:8" ht="12.75">
      <c r="B269" s="169" t="s">
        <v>612</v>
      </c>
      <c r="C269" s="201"/>
      <c r="F269" s="219">
        <f>SUM(F270:F271)</f>
        <v>49000000</v>
      </c>
      <c r="G269" s="219">
        <f>SUM(G270:G271)</f>
        <v>0</v>
      </c>
      <c r="H269" s="179">
        <f aca="true" t="shared" si="7" ref="H269:H274">+F269-G269</f>
        <v>49000000</v>
      </c>
    </row>
    <row r="270" spans="2:8" ht="12.75">
      <c r="B270" s="212" t="s">
        <v>454</v>
      </c>
      <c r="F270" s="201">
        <v>19000000</v>
      </c>
      <c r="H270" s="222">
        <f t="shared" si="7"/>
        <v>19000000</v>
      </c>
    </row>
    <row r="271" spans="2:8" ht="12.75">
      <c r="B271" s="212" t="s">
        <v>453</v>
      </c>
      <c r="F271" s="201">
        <v>30000000</v>
      </c>
      <c r="H271" s="222">
        <f t="shared" si="7"/>
        <v>30000000</v>
      </c>
    </row>
    <row r="272" spans="2:3" ht="12.75">
      <c r="B272" s="189"/>
      <c r="C272" s="188"/>
    </row>
    <row r="273" spans="2:8" ht="12.75">
      <c r="B273" s="169" t="s">
        <v>613</v>
      </c>
      <c r="C273" s="201"/>
      <c r="F273" s="219">
        <f>SUM(F274)</f>
        <v>76000000</v>
      </c>
      <c r="H273" s="179">
        <f t="shared" si="7"/>
        <v>76000000</v>
      </c>
    </row>
    <row r="274" spans="2:8" ht="12.75">
      <c r="B274" s="212" t="s">
        <v>450</v>
      </c>
      <c r="F274" s="201">
        <v>76000000</v>
      </c>
      <c r="H274" s="222">
        <f t="shared" si="7"/>
        <v>76000000</v>
      </c>
    </row>
    <row r="275" ht="12.75"/>
    <row r="276" ht="12.75"/>
    <row r="277" spans="2:8" ht="12.75">
      <c r="B277" s="169" t="s">
        <v>615</v>
      </c>
      <c r="C277" s="201"/>
      <c r="F277" s="219">
        <f>SUM(F278:F279)</f>
        <v>67000000</v>
      </c>
      <c r="G277" s="219">
        <f>SUM(G278:G279)</f>
        <v>0</v>
      </c>
      <c r="H277" s="179">
        <f>+F277-G277</f>
        <v>67000000</v>
      </c>
    </row>
    <row r="278" spans="2:8" ht="12.75">
      <c r="B278" s="212" t="s">
        <v>444</v>
      </c>
      <c r="F278" s="201">
        <v>19000000</v>
      </c>
      <c r="H278" s="222">
        <f>+F278-G278</f>
        <v>19000000</v>
      </c>
    </row>
    <row r="279" spans="2:8" ht="12.75">
      <c r="B279" s="212" t="s">
        <v>443</v>
      </c>
      <c r="F279" s="201">
        <v>48000000</v>
      </c>
      <c r="H279" s="222">
        <f>+F279-G279</f>
        <v>48000000</v>
      </c>
    </row>
    <row r="280" ht="12.75"/>
    <row r="281" spans="2:8" ht="12.75">
      <c r="B281" s="169" t="s">
        <v>616</v>
      </c>
      <c r="C281" s="201"/>
      <c r="F281" s="219">
        <f>SUM(F282:F283)</f>
        <v>12000000</v>
      </c>
      <c r="G281" s="219">
        <f>SUM(G282:G283)</f>
        <v>0</v>
      </c>
      <c r="H281" s="179">
        <f>+F281-G281</f>
        <v>12000000</v>
      </c>
    </row>
    <row r="282" spans="2:8" ht="12.75">
      <c r="B282" s="212" t="s">
        <v>439</v>
      </c>
      <c r="F282" s="201">
        <v>1000000</v>
      </c>
      <c r="H282" s="222">
        <f>+F282-G282</f>
        <v>1000000</v>
      </c>
    </row>
    <row r="283" spans="2:8" ht="12.75">
      <c r="B283" s="212" t="s">
        <v>438</v>
      </c>
      <c r="F283" s="201">
        <v>11000000</v>
      </c>
      <c r="H283" s="222">
        <f>+F283-G283</f>
        <v>11000000</v>
      </c>
    </row>
    <row r="284" ht="12.75"/>
    <row r="285" ht="12.75"/>
    <row r="286" ht="12.75"/>
    <row r="287" spans="2:8" ht="15.75">
      <c r="B287" s="226" t="s">
        <v>618</v>
      </c>
      <c r="F287" s="219">
        <f>+F289+F296+F306+F310+F314</f>
        <v>326500000</v>
      </c>
      <c r="G287" s="219">
        <f>+G289+G296+G306+G310</f>
        <v>0</v>
      </c>
      <c r="H287" s="179">
        <f aca="true" t="shared" si="8" ref="H287:H293">+F287-G287</f>
        <v>326500000</v>
      </c>
    </row>
    <row r="288" ht="12.75"/>
    <row r="289" spans="2:8" ht="33.75" customHeight="1">
      <c r="B289" s="178" t="s">
        <v>605</v>
      </c>
      <c r="C289" s="201"/>
      <c r="F289" s="219">
        <f>SUM(F290:F293)</f>
        <v>39400000</v>
      </c>
      <c r="G289" s="219">
        <f>SUM(G290:G293)</f>
        <v>0</v>
      </c>
      <c r="H289" s="179">
        <f t="shared" si="8"/>
        <v>39400000</v>
      </c>
    </row>
    <row r="290" spans="2:8" ht="12.75">
      <c r="B290" s="212" t="s">
        <v>498</v>
      </c>
      <c r="F290" s="201">
        <v>15400000</v>
      </c>
      <c r="H290" s="222">
        <f t="shared" si="8"/>
        <v>15400000</v>
      </c>
    </row>
    <row r="291" spans="2:8" ht="12.75">
      <c r="B291" s="212" t="s">
        <v>497</v>
      </c>
      <c r="F291" s="201">
        <v>8000000</v>
      </c>
      <c r="H291" s="222">
        <f t="shared" si="8"/>
        <v>8000000</v>
      </c>
    </row>
    <row r="292" spans="2:8" ht="12.75">
      <c r="B292" s="212" t="s">
        <v>496</v>
      </c>
      <c r="F292" s="201">
        <v>8000000</v>
      </c>
      <c r="H292" s="222">
        <f t="shared" si="8"/>
        <v>8000000</v>
      </c>
    </row>
    <row r="293" spans="2:8" ht="12.75">
      <c r="B293" s="212" t="s">
        <v>495</v>
      </c>
      <c r="F293" s="201">
        <v>8000000</v>
      </c>
      <c r="H293" s="222">
        <f t="shared" si="8"/>
        <v>8000000</v>
      </c>
    </row>
    <row r="294" ht="12.75"/>
    <row r="295" ht="12.75"/>
    <row r="296" spans="2:8" ht="12.75">
      <c r="B296" s="169" t="s">
        <v>607</v>
      </c>
      <c r="C296" s="201"/>
      <c r="F296" s="219">
        <f>SUM(F297:F303)</f>
        <v>190600000</v>
      </c>
      <c r="G296" s="219">
        <f>SUM(G297:G303)</f>
        <v>0</v>
      </c>
      <c r="H296" s="179">
        <f aca="true" t="shared" si="9" ref="H296:H303">+F296-G296</f>
        <v>190600000</v>
      </c>
    </row>
    <row r="297" spans="2:8" ht="12.75">
      <c r="B297" s="212" t="s">
        <v>480</v>
      </c>
      <c r="F297" s="201">
        <v>38000000</v>
      </c>
      <c r="H297" s="222">
        <f t="shared" si="9"/>
        <v>38000000</v>
      </c>
    </row>
    <row r="298" spans="2:8" ht="12.75">
      <c r="B298" s="212" t="s">
        <v>478</v>
      </c>
      <c r="F298" s="201">
        <v>48000000</v>
      </c>
      <c r="H298" s="222">
        <f t="shared" si="9"/>
        <v>48000000</v>
      </c>
    </row>
    <row r="299" spans="2:8" ht="12.75">
      <c r="B299" s="212" t="s">
        <v>477</v>
      </c>
      <c r="F299" s="201">
        <v>4000000</v>
      </c>
      <c r="H299" s="222">
        <f t="shared" si="9"/>
        <v>4000000</v>
      </c>
    </row>
    <row r="300" spans="2:8" ht="12.75">
      <c r="B300" s="212" t="s">
        <v>476</v>
      </c>
      <c r="F300" s="201">
        <v>36000000</v>
      </c>
      <c r="H300" s="222">
        <f t="shared" si="9"/>
        <v>36000000</v>
      </c>
    </row>
    <row r="301" spans="2:8" ht="12.75">
      <c r="B301" s="212" t="s">
        <v>475</v>
      </c>
      <c r="F301" s="201">
        <v>12600000</v>
      </c>
      <c r="H301" s="222">
        <f t="shared" si="9"/>
        <v>12600000</v>
      </c>
    </row>
    <row r="302" spans="2:8" ht="12.75">
      <c r="B302" s="212" t="s">
        <v>474</v>
      </c>
      <c r="F302" s="201">
        <v>18000000</v>
      </c>
      <c r="H302" s="222">
        <f t="shared" si="9"/>
        <v>18000000</v>
      </c>
    </row>
    <row r="303" spans="2:8" ht="12.75">
      <c r="B303" s="212" t="s">
        <v>473</v>
      </c>
      <c r="F303" s="201">
        <v>34000000</v>
      </c>
      <c r="H303" s="222">
        <f t="shared" si="9"/>
        <v>34000000</v>
      </c>
    </row>
    <row r="304" spans="2:3" ht="12.75">
      <c r="B304" s="189"/>
      <c r="C304" s="188"/>
    </row>
    <row r="305" spans="2:3" ht="12.75">
      <c r="B305" s="189"/>
      <c r="C305" s="188"/>
    </row>
    <row r="306" spans="2:8" ht="12.75">
      <c r="B306" s="169" t="s">
        <v>608</v>
      </c>
      <c r="C306" s="201"/>
      <c r="F306" s="219">
        <f>SUM(F307:F307)</f>
        <v>34000000</v>
      </c>
      <c r="G306" s="219">
        <f>SUM(G307:G307)</f>
        <v>0</v>
      </c>
      <c r="H306" s="179">
        <f>+F306-G306</f>
        <v>34000000</v>
      </c>
    </row>
    <row r="307" spans="2:8" ht="12.75">
      <c r="B307" s="212" t="s">
        <v>471</v>
      </c>
      <c r="F307" s="201">
        <v>34000000</v>
      </c>
      <c r="H307" s="222">
        <f>+F307-G307</f>
        <v>34000000</v>
      </c>
    </row>
    <row r="308" spans="2:3" ht="12.75">
      <c r="B308" s="189"/>
      <c r="C308" s="188"/>
    </row>
    <row r="309" spans="2:3" ht="12.75">
      <c r="B309" s="189"/>
      <c r="C309" s="188"/>
    </row>
    <row r="310" spans="2:8" ht="12.75">
      <c r="B310" s="169" t="s">
        <v>609</v>
      </c>
      <c r="C310" s="201"/>
      <c r="F310" s="219">
        <f>SUM(F311)</f>
        <v>28000000</v>
      </c>
      <c r="G310" s="219">
        <f>SUM(G311)</f>
        <v>0</v>
      </c>
      <c r="H310" s="179">
        <f>+F310-G310</f>
        <v>28000000</v>
      </c>
    </row>
    <row r="311" spans="2:8" ht="12.75">
      <c r="B311" s="212" t="s">
        <v>468</v>
      </c>
      <c r="F311" s="201">
        <v>28000000</v>
      </c>
      <c r="H311" s="222">
        <f>+F311-G311</f>
        <v>28000000</v>
      </c>
    </row>
    <row r="312" spans="2:8" s="207" customFormat="1" ht="12.75">
      <c r="B312" s="225"/>
      <c r="F312" s="208"/>
      <c r="H312" s="229"/>
    </row>
    <row r="313" ht="12.75">
      <c r="B313" s="225"/>
    </row>
    <row r="314" spans="2:8" ht="12.75">
      <c r="B314" s="169" t="s">
        <v>626</v>
      </c>
      <c r="C314" s="201"/>
      <c r="F314" s="219">
        <f>SUM(F315:F316)</f>
        <v>34500000</v>
      </c>
      <c r="G314" s="219">
        <f>SUM(G315:G316)</f>
        <v>0</v>
      </c>
      <c r="H314" s="179">
        <f>+F314-G314</f>
        <v>34500000</v>
      </c>
    </row>
    <row r="315" spans="2:8" ht="12.75">
      <c r="B315" s="212" t="s">
        <v>483</v>
      </c>
      <c r="F315" s="201">
        <v>20000000</v>
      </c>
      <c r="H315" s="222">
        <f>+F315-G315</f>
        <v>20000000</v>
      </c>
    </row>
    <row r="316" spans="2:8" ht="12.75">
      <c r="B316" s="212" t="s">
        <v>482</v>
      </c>
      <c r="F316" s="201">
        <v>14500000</v>
      </c>
      <c r="H316" s="222">
        <f>+F316-G316</f>
        <v>14500000</v>
      </c>
    </row>
    <row r="317" spans="2:3" s="207" customFormat="1" ht="12.75">
      <c r="B317" s="209"/>
      <c r="C317" s="208"/>
    </row>
    <row r="318" spans="2:3" s="207" customFormat="1" ht="12.75">
      <c r="B318" s="209"/>
      <c r="C318" s="208"/>
    </row>
    <row r="319" ht="12.75"/>
    <row r="320" spans="2:8" ht="15.75">
      <c r="B320" s="226" t="s">
        <v>617</v>
      </c>
      <c r="C320" s="230"/>
      <c r="D320" s="230"/>
      <c r="F320" s="219">
        <f>+F322+F327</f>
        <v>100000000</v>
      </c>
      <c r="G320" s="219">
        <f>+G322+G327</f>
        <v>0</v>
      </c>
      <c r="H320" s="179">
        <f>+F320-G320</f>
        <v>100000000</v>
      </c>
    </row>
    <row r="321" ht="12.75"/>
    <row r="322" spans="2:8" ht="12.75">
      <c r="B322" s="169" t="s">
        <v>623</v>
      </c>
      <c r="C322" s="201"/>
      <c r="F322" s="219">
        <f>SUM(F323:F324)</f>
        <v>2000000</v>
      </c>
      <c r="G322" s="219">
        <f>SUM(G323:G324)</f>
        <v>0</v>
      </c>
      <c r="H322" s="179">
        <f>+F322-G322</f>
        <v>2000000</v>
      </c>
    </row>
    <row r="323" spans="2:8" ht="12.75">
      <c r="B323" s="212" t="s">
        <v>436</v>
      </c>
      <c r="F323" s="201">
        <v>1000000</v>
      </c>
      <c r="H323" s="222">
        <f>+F323-G323</f>
        <v>1000000</v>
      </c>
    </row>
    <row r="324" spans="2:8" ht="12.75">
      <c r="B324" s="212" t="s">
        <v>435</v>
      </c>
      <c r="F324" s="201">
        <v>1000000</v>
      </c>
      <c r="H324" s="222">
        <f>+F324-G324</f>
        <v>1000000</v>
      </c>
    </row>
    <row r="325" spans="2:3" ht="12.75">
      <c r="B325" s="189"/>
      <c r="C325" s="188"/>
    </row>
    <row r="326" spans="2:3" ht="12.75">
      <c r="B326" s="189"/>
      <c r="C326" s="188"/>
    </row>
    <row r="327" spans="2:8" ht="12.75">
      <c r="B327" s="169" t="s">
        <v>624</v>
      </c>
      <c r="C327" s="201"/>
      <c r="F327" s="219">
        <f>SUM(F328:F333)</f>
        <v>98000000</v>
      </c>
      <c r="G327" s="219">
        <f>SUM(G328:G333)</f>
        <v>0</v>
      </c>
      <c r="H327" s="179">
        <f aca="true" t="shared" si="10" ref="H327:H333">+F327-G327</f>
        <v>98000000</v>
      </c>
    </row>
    <row r="328" spans="2:8" ht="12.75">
      <c r="B328" s="212" t="s">
        <v>433</v>
      </c>
      <c r="F328" s="201">
        <v>0</v>
      </c>
      <c r="H328" s="222">
        <f t="shared" si="10"/>
        <v>0</v>
      </c>
    </row>
    <row r="329" spans="2:8" ht="12.75">
      <c r="B329" s="212" t="s">
        <v>432</v>
      </c>
      <c r="F329" s="201">
        <v>38000000</v>
      </c>
      <c r="H329" s="222">
        <f t="shared" si="10"/>
        <v>38000000</v>
      </c>
    </row>
    <row r="330" spans="2:8" ht="12.75">
      <c r="B330" s="212" t="s">
        <v>431</v>
      </c>
      <c r="F330" s="201">
        <v>0</v>
      </c>
      <c r="H330" s="222">
        <f t="shared" si="10"/>
        <v>0</v>
      </c>
    </row>
    <row r="331" spans="2:8" ht="12.75">
      <c r="B331" s="212" t="s">
        <v>430</v>
      </c>
      <c r="F331" s="201">
        <v>4000000</v>
      </c>
      <c r="H331" s="222">
        <f t="shared" si="10"/>
        <v>4000000</v>
      </c>
    </row>
    <row r="332" spans="2:8" ht="12.75">
      <c r="B332" s="212" t="s">
        <v>429</v>
      </c>
      <c r="F332" s="201">
        <v>28000000</v>
      </c>
      <c r="H332" s="222">
        <f t="shared" si="10"/>
        <v>28000000</v>
      </c>
    </row>
    <row r="333" spans="2:8" ht="12.75">
      <c r="B333" s="212" t="s">
        <v>428</v>
      </c>
      <c r="F333" s="201">
        <v>28000000</v>
      </c>
      <c r="H333" s="222">
        <f t="shared" si="10"/>
        <v>28000000</v>
      </c>
    </row>
    <row r="334" ht="12.75"/>
    <row r="335" ht="12.75"/>
    <row r="336" ht="12.75"/>
    <row r="337" spans="2:8" ht="15.75">
      <c r="B337" s="182" t="s">
        <v>28</v>
      </c>
      <c r="C337" s="161"/>
      <c r="D337" s="161"/>
      <c r="E337" s="163"/>
      <c r="F337" s="179">
        <f>SUM(F340+F348)</f>
        <v>1049834554.14</v>
      </c>
      <c r="G337" s="179">
        <f>SUM(G340+G348)</f>
        <v>931121214</v>
      </c>
      <c r="H337" s="179">
        <f>+F337-G337</f>
        <v>118713340.13999999</v>
      </c>
    </row>
    <row r="338" spans="2:7" ht="12.75">
      <c r="B338" s="159"/>
      <c r="C338" s="161"/>
      <c r="D338" s="161"/>
      <c r="E338" s="163"/>
      <c r="F338" s="184"/>
      <c r="G338" s="161"/>
    </row>
    <row r="339" spans="2:8" ht="12.75">
      <c r="B339" s="159"/>
      <c r="C339" s="163"/>
      <c r="D339" s="163"/>
      <c r="F339" s="163"/>
      <c r="G339" s="184"/>
      <c r="H339" s="159"/>
    </row>
    <row r="340" spans="2:8" ht="12.75">
      <c r="B340" s="178" t="s">
        <v>403</v>
      </c>
      <c r="C340" s="163"/>
      <c r="D340" s="163"/>
      <c r="F340" s="185">
        <f>+F341+F342+F345</f>
        <v>1005334554.14</v>
      </c>
      <c r="G340" s="185">
        <f>+G341+G342+G345</f>
        <v>887919802</v>
      </c>
      <c r="H340" s="179">
        <f aca="true" t="shared" si="11" ref="H340:H345">+F340-G340</f>
        <v>117414752.13999999</v>
      </c>
    </row>
    <row r="341" spans="2:8" ht="12.75">
      <c r="B341" s="157" t="s">
        <v>404</v>
      </c>
      <c r="C341" s="157"/>
      <c r="D341" s="157"/>
      <c r="F341" s="201">
        <v>963440791.14</v>
      </c>
      <c r="G341" s="164">
        <v>864190977</v>
      </c>
      <c r="H341" s="222">
        <f t="shared" si="11"/>
        <v>99249814.13999999</v>
      </c>
    </row>
    <row r="342" spans="2:8" ht="12.75">
      <c r="B342" s="165" t="s">
        <v>411</v>
      </c>
      <c r="C342" s="166"/>
      <c r="D342" s="166"/>
      <c r="F342" s="231">
        <f>SUM(F343:F344)</f>
        <v>31893763</v>
      </c>
      <c r="G342" s="231">
        <f>SUM(G343:G344)</f>
        <v>18477768</v>
      </c>
      <c r="H342" s="179">
        <f t="shared" si="11"/>
        <v>13415995</v>
      </c>
    </row>
    <row r="343" spans="2:8" ht="12.75">
      <c r="B343" s="157" t="s">
        <v>412</v>
      </c>
      <c r="C343" s="157"/>
      <c r="D343" s="157"/>
      <c r="F343" s="201">
        <v>28000000</v>
      </c>
      <c r="G343" s="184">
        <v>15000000</v>
      </c>
      <c r="H343" s="222">
        <f t="shared" si="11"/>
        <v>13000000</v>
      </c>
    </row>
    <row r="344" spans="2:8" ht="12.75">
      <c r="B344" s="157" t="s">
        <v>413</v>
      </c>
      <c r="C344" s="157"/>
      <c r="D344" s="157"/>
      <c r="F344" s="232">
        <f>+ROUND((F341+F345)*0.4%,0)</f>
        <v>3893763</v>
      </c>
      <c r="G344" s="184">
        <f>+ROUND((G341+G345)*0.4%,0)</f>
        <v>3477768</v>
      </c>
      <c r="H344" s="222">
        <f t="shared" si="11"/>
        <v>415995</v>
      </c>
    </row>
    <row r="345" spans="2:8" ht="12.75">
      <c r="B345" s="157" t="s">
        <v>405</v>
      </c>
      <c r="C345" s="158"/>
      <c r="D345" s="158"/>
      <c r="F345" s="201">
        <v>10000000</v>
      </c>
      <c r="G345" s="164">
        <v>5251057</v>
      </c>
      <c r="H345" s="222">
        <f t="shared" si="11"/>
        <v>4748943</v>
      </c>
    </row>
    <row r="346" spans="2:8" ht="12.75">
      <c r="B346" s="163"/>
      <c r="C346" s="158"/>
      <c r="D346" s="158"/>
      <c r="F346" s="163"/>
      <c r="G346" s="164"/>
      <c r="H346" s="161"/>
    </row>
    <row r="347" spans="2:8" ht="12.75">
      <c r="B347" s="158"/>
      <c r="C347" s="158"/>
      <c r="D347" s="158"/>
      <c r="F347" s="163"/>
      <c r="G347" s="185"/>
      <c r="H347" s="161"/>
    </row>
    <row r="348" spans="2:8" ht="12.75">
      <c r="B348" s="159" t="s">
        <v>406</v>
      </c>
      <c r="C348" s="163"/>
      <c r="D348" s="163"/>
      <c r="F348" s="159">
        <f>SUM(F350)</f>
        <v>44500000</v>
      </c>
      <c r="G348" s="159">
        <f>SUM(G350)</f>
        <v>43201412</v>
      </c>
      <c r="H348" s="179">
        <f>+F348-G348</f>
        <v>1298588</v>
      </c>
    </row>
    <row r="349" spans="2:8" ht="12.75">
      <c r="B349" s="163"/>
      <c r="C349" s="163"/>
      <c r="D349" s="163"/>
      <c r="F349" s="163"/>
      <c r="G349" s="184"/>
      <c r="H349" s="163"/>
    </row>
    <row r="350" spans="2:8" ht="12.75">
      <c r="B350" s="159" t="s">
        <v>407</v>
      </c>
      <c r="C350" s="163"/>
      <c r="D350" s="163"/>
      <c r="F350" s="185">
        <f>SUM(F351:F351)</f>
        <v>44500000</v>
      </c>
      <c r="G350" s="185">
        <f>SUM(G351:G351)</f>
        <v>43201412</v>
      </c>
      <c r="H350" s="179">
        <f>+F350-G350</f>
        <v>1298588</v>
      </c>
    </row>
    <row r="351" spans="2:8" ht="12.75">
      <c r="B351" s="157" t="s">
        <v>408</v>
      </c>
      <c r="C351" s="163"/>
      <c r="D351" s="163"/>
      <c r="F351" s="201">
        <v>44500000</v>
      </c>
      <c r="G351" s="164">
        <v>43201412</v>
      </c>
      <c r="H351" s="222">
        <f>+F351-G351</f>
        <v>1298588</v>
      </c>
    </row>
    <row r="352" spans="2:8" ht="12.75">
      <c r="B352" s="173"/>
      <c r="C352" s="163"/>
      <c r="D352" s="163"/>
      <c r="F352" s="163"/>
      <c r="G352" s="164"/>
      <c r="H352" s="161"/>
    </row>
    <row r="353" spans="2:8" ht="12.75">
      <c r="B353" s="160"/>
      <c r="C353" s="160"/>
      <c r="D353" s="160"/>
      <c r="F353" s="163"/>
      <c r="G353" s="184"/>
      <c r="H353" s="161"/>
    </row>
    <row r="354" spans="6:8" s="233" customFormat="1" ht="15.75">
      <c r="F354" s="182">
        <f>+F6+F52+F70+F92+F147+F160+F170+F193+F138+F203+F230+F257+F287+F320+F337</f>
        <v>8274054554.14</v>
      </c>
      <c r="G354" s="182">
        <f>+G6+G52+G70+G92+G147+G160+G170+G193+G138+G203+G230+G257+G287+G320+G337</f>
        <v>2563861153</v>
      </c>
      <c r="H354" s="182">
        <f>+H6+H52+H70+H92+H147+H160+H170+H193+H138+H203+H230+H257+H287+H320+H337</f>
        <v>5710193401.14</v>
      </c>
    </row>
    <row r="355" spans="2:8" ht="12.75">
      <c r="B355" s="166"/>
      <c r="C355" s="166"/>
      <c r="D355" s="166"/>
      <c r="F355" s="186"/>
      <c r="G355" s="184"/>
      <c r="H355" s="161"/>
    </row>
    <row r="356" spans="2:7" ht="12.75">
      <c r="B356" s="157"/>
      <c r="C356" s="157"/>
      <c r="D356" s="157"/>
      <c r="E356" s="186"/>
      <c r="F356" s="184"/>
      <c r="G356" s="161"/>
    </row>
    <row r="357" ht="12.75">
      <c r="B357" s="225"/>
    </row>
    <row r="358" ht="12.75">
      <c r="B358" s="225"/>
    </row>
    <row r="359" ht="12.75">
      <c r="B359" s="225"/>
    </row>
    <row r="360" ht="15.75" customHeight="1">
      <c r="B360" s="225"/>
    </row>
    <row r="361" ht="12.75">
      <c r="B361" s="225"/>
    </row>
    <row r="362" ht="12.75">
      <c r="B362" s="225"/>
    </row>
    <row r="363" ht="12.75">
      <c r="B363" s="225"/>
    </row>
    <row r="364" spans="1:4" ht="63.75" customHeight="1" hidden="1">
      <c r="A364" s="189" t="s">
        <v>582</v>
      </c>
      <c r="B364" s="188">
        <v>76000000</v>
      </c>
      <c r="C364" s="188"/>
      <c r="D364" s="191"/>
    </row>
    <row r="365" spans="1:4" ht="12.75">
      <c r="A365" s="189"/>
      <c r="B365" s="188"/>
      <c r="C365" s="188"/>
      <c r="D365" s="191"/>
    </row>
    <row r="366" spans="1:4" ht="12.75" customHeight="1" hidden="1">
      <c r="A366" s="189"/>
      <c r="B366" s="188"/>
      <c r="C366" s="188"/>
      <c r="D366" s="191"/>
    </row>
    <row r="367" spans="1:4" s="206" customFormat="1" ht="38.25" customHeight="1" hidden="1">
      <c r="A367" s="200" t="s">
        <v>581</v>
      </c>
      <c r="B367" s="201"/>
      <c r="C367" s="201"/>
      <c r="D367" s="196"/>
    </row>
    <row r="368" spans="1:4" s="206" customFormat="1" ht="51" customHeight="1" hidden="1">
      <c r="A368" s="202" t="s">
        <v>340</v>
      </c>
      <c r="B368" s="201">
        <v>38000000</v>
      </c>
      <c r="C368" s="201"/>
      <c r="D368" s="196"/>
    </row>
    <row r="369" spans="1:4" s="206" customFormat="1" ht="76.5" customHeight="1" hidden="1">
      <c r="A369" s="200" t="s">
        <v>239</v>
      </c>
      <c r="B369" s="214"/>
      <c r="C369" s="214"/>
      <c r="D369" s="196"/>
    </row>
    <row r="370" spans="1:4" ht="51" customHeight="1" hidden="1">
      <c r="A370" s="210" t="s">
        <v>580</v>
      </c>
      <c r="B370" s="201">
        <v>3143000000</v>
      </c>
      <c r="C370" s="188"/>
      <c r="D370" s="191"/>
    </row>
    <row r="371" spans="1:4" ht="63.75" customHeight="1" hidden="1">
      <c r="A371" s="210" t="s">
        <v>579</v>
      </c>
      <c r="B371" s="201">
        <v>96000000</v>
      </c>
      <c r="C371" s="188"/>
      <c r="D371" s="191">
        <v>100000000</v>
      </c>
    </row>
    <row r="372" spans="1:4" ht="63.75" customHeight="1" hidden="1">
      <c r="A372" s="202" t="s">
        <v>341</v>
      </c>
      <c r="B372" s="201">
        <v>57000000</v>
      </c>
      <c r="C372" s="188"/>
      <c r="D372" s="191"/>
    </row>
    <row r="373" spans="1:4" ht="38.25" customHeight="1" hidden="1">
      <c r="A373" s="202" t="s">
        <v>342</v>
      </c>
      <c r="B373" s="201">
        <v>192000000</v>
      </c>
      <c r="C373" s="188"/>
      <c r="D373" s="191">
        <v>100000000</v>
      </c>
    </row>
    <row r="374" spans="1:4" ht="63.75" customHeight="1" hidden="1">
      <c r="A374" s="202" t="s">
        <v>343</v>
      </c>
      <c r="B374" s="201">
        <v>57000000</v>
      </c>
      <c r="C374" s="188"/>
      <c r="D374" s="191"/>
    </row>
    <row r="375" spans="1:4" ht="63.75" customHeight="1" hidden="1">
      <c r="A375" s="202" t="s">
        <v>344</v>
      </c>
      <c r="B375" s="201">
        <v>33000000</v>
      </c>
      <c r="C375" s="188"/>
      <c r="D375" s="191"/>
    </row>
    <row r="376" spans="1:4" ht="63.75" customHeight="1" hidden="1">
      <c r="A376" s="202" t="s">
        <v>345</v>
      </c>
      <c r="B376" s="201">
        <v>9000000</v>
      </c>
      <c r="C376" s="188"/>
      <c r="D376" s="191"/>
    </row>
    <row r="377" spans="1:4" ht="25.5" customHeight="1" hidden="1">
      <c r="A377" s="200" t="s">
        <v>578</v>
      </c>
      <c r="B377" s="201"/>
      <c r="C377" s="188"/>
      <c r="D377" s="191"/>
    </row>
    <row r="378" spans="1:4" ht="25.5" customHeight="1" hidden="1">
      <c r="A378" s="202" t="s">
        <v>384</v>
      </c>
      <c r="B378" s="201">
        <v>48000000</v>
      </c>
      <c r="C378" s="188"/>
      <c r="D378" s="191">
        <v>100000000</v>
      </c>
    </row>
    <row r="379" spans="1:4" ht="12.75" customHeight="1" hidden="1">
      <c r="A379" s="189"/>
      <c r="B379" s="188"/>
      <c r="C379" s="188"/>
      <c r="D379" s="191"/>
    </row>
    <row r="380" spans="1:4" ht="12.75" customHeight="1" hidden="1">
      <c r="A380" s="189"/>
      <c r="B380" s="188"/>
      <c r="C380" s="188"/>
      <c r="D380" s="191"/>
    </row>
    <row r="381" spans="1:4" ht="25.5" customHeight="1" hidden="1">
      <c r="A381" s="202" t="s">
        <v>386</v>
      </c>
      <c r="B381" s="201">
        <v>331000000</v>
      </c>
      <c r="C381" s="188"/>
      <c r="D381" s="191">
        <v>100000000</v>
      </c>
    </row>
    <row r="382" spans="1:4" ht="63.75" customHeight="1" hidden="1">
      <c r="A382" s="202" t="s">
        <v>387</v>
      </c>
      <c r="B382" s="201">
        <v>192000000</v>
      </c>
      <c r="C382" s="188"/>
      <c r="D382" s="191">
        <v>100000000</v>
      </c>
    </row>
    <row r="383" spans="1:4" ht="63.75" customHeight="1" hidden="1">
      <c r="A383" s="202" t="s">
        <v>388</v>
      </c>
      <c r="B383" s="201">
        <v>48000000</v>
      </c>
      <c r="C383" s="188"/>
      <c r="D383" s="191">
        <v>50000000</v>
      </c>
    </row>
    <row r="384" spans="1:4" ht="38.25" customHeight="1" hidden="1">
      <c r="A384" s="202" t="s">
        <v>389</v>
      </c>
      <c r="B384" s="201">
        <v>28000000</v>
      </c>
      <c r="C384" s="188"/>
      <c r="D384" s="191"/>
    </row>
    <row r="385" spans="1:4" ht="12.75" customHeight="1" hidden="1">
      <c r="A385" s="189"/>
      <c r="B385" s="188"/>
      <c r="C385" s="188"/>
      <c r="D385" s="191"/>
    </row>
    <row r="386" spans="1:4" ht="12.75" customHeight="1" hidden="1">
      <c r="A386" s="169" t="s">
        <v>363</v>
      </c>
      <c r="B386" s="188"/>
      <c r="C386" s="188"/>
      <c r="D386" s="191"/>
    </row>
    <row r="387" spans="1:4" ht="51" customHeight="1" hidden="1">
      <c r="A387" s="202" t="s">
        <v>364</v>
      </c>
      <c r="B387" s="201">
        <v>9000000</v>
      </c>
      <c r="C387" s="188"/>
      <c r="D387" s="191">
        <v>10000000</v>
      </c>
    </row>
    <row r="388" spans="1:4" ht="51" customHeight="1" hidden="1">
      <c r="A388" s="202" t="s">
        <v>365</v>
      </c>
      <c r="B388" s="201">
        <v>19000000</v>
      </c>
      <c r="C388" s="188"/>
      <c r="D388" s="191"/>
    </row>
    <row r="389" spans="1:4" ht="51" customHeight="1" hidden="1">
      <c r="A389" s="202" t="s">
        <v>366</v>
      </c>
      <c r="B389" s="201">
        <v>288000000</v>
      </c>
      <c r="C389" s="188"/>
      <c r="D389" s="191">
        <v>200000000</v>
      </c>
    </row>
    <row r="390" spans="1:4" ht="89.25" customHeight="1" hidden="1">
      <c r="A390" s="202" t="s">
        <v>367</v>
      </c>
      <c r="B390" s="201">
        <v>48000000</v>
      </c>
      <c r="C390" s="188"/>
      <c r="D390" s="191"/>
    </row>
    <row r="391" spans="1:4" ht="51" customHeight="1" hidden="1">
      <c r="A391" s="202" t="s">
        <v>368</v>
      </c>
      <c r="B391" s="201">
        <v>48000000</v>
      </c>
      <c r="C391" s="188"/>
      <c r="D391" s="191">
        <v>200000000</v>
      </c>
    </row>
    <row r="392" spans="1:4" ht="12.75" customHeight="1" hidden="1">
      <c r="A392" s="189"/>
      <c r="B392" s="188"/>
      <c r="C392" s="188"/>
      <c r="D392" s="191"/>
    </row>
    <row r="393" spans="1:4" ht="12.75" customHeight="1" hidden="1">
      <c r="A393" s="189"/>
      <c r="B393" s="188"/>
      <c r="C393" s="188"/>
      <c r="D393" s="191"/>
    </row>
    <row r="394" spans="1:4" s="206" customFormat="1" ht="25.5" customHeight="1" hidden="1">
      <c r="A394" s="200" t="s">
        <v>577</v>
      </c>
      <c r="B394" s="201"/>
      <c r="C394" s="201"/>
      <c r="D394" s="196"/>
    </row>
    <row r="395" spans="1:4" s="206" customFormat="1" ht="51" customHeight="1" hidden="1">
      <c r="A395" s="202" t="s">
        <v>576</v>
      </c>
      <c r="B395" s="201">
        <v>1000000</v>
      </c>
      <c r="C395" s="201"/>
      <c r="D395" s="196"/>
    </row>
    <row r="396" spans="1:4" s="206" customFormat="1" ht="63.75" customHeight="1" hidden="1">
      <c r="A396" s="210" t="s">
        <v>575</v>
      </c>
      <c r="B396" s="201">
        <v>134000000</v>
      </c>
      <c r="C396" s="201"/>
      <c r="D396" s="196">
        <v>100000000</v>
      </c>
    </row>
    <row r="397" spans="1:4" s="206" customFormat="1" ht="76.5" customHeight="1" hidden="1">
      <c r="A397" s="210" t="s">
        <v>574</v>
      </c>
      <c r="B397" s="201">
        <v>86000000</v>
      </c>
      <c r="C397" s="201"/>
      <c r="D397" s="196"/>
    </row>
    <row r="398" spans="1:4" s="206" customFormat="1" ht="63.75" customHeight="1" hidden="1">
      <c r="A398" s="210" t="s">
        <v>573</v>
      </c>
      <c r="B398" s="201">
        <v>110000000</v>
      </c>
      <c r="C398" s="201"/>
      <c r="D398" s="196"/>
    </row>
    <row r="399" spans="1:4" s="206" customFormat="1" ht="76.5" customHeight="1" hidden="1">
      <c r="A399" s="210" t="s">
        <v>572</v>
      </c>
      <c r="B399" s="201">
        <v>48000000</v>
      </c>
      <c r="C399" s="201"/>
      <c r="D399" s="196">
        <v>100000000</v>
      </c>
    </row>
    <row r="400" spans="1:4" s="206" customFormat="1" ht="102" customHeight="1" hidden="1">
      <c r="A400" s="210" t="s">
        <v>571</v>
      </c>
      <c r="B400" s="201">
        <v>192000000</v>
      </c>
      <c r="C400" s="201"/>
      <c r="D400" s="196">
        <v>100000000</v>
      </c>
    </row>
    <row r="401" spans="1:4" s="206" customFormat="1" ht="36.75" customHeight="1" hidden="1">
      <c r="A401" s="210" t="s">
        <v>570</v>
      </c>
      <c r="B401" s="201">
        <v>48000000</v>
      </c>
      <c r="C401" s="201"/>
      <c r="D401" s="196"/>
    </row>
    <row r="402" spans="1:4" s="206" customFormat="1" ht="36" customHeight="1" hidden="1">
      <c r="A402" s="210" t="s">
        <v>569</v>
      </c>
      <c r="B402" s="201">
        <v>1000000</v>
      </c>
      <c r="C402" s="201"/>
      <c r="D402" s="196"/>
    </row>
    <row r="403" spans="1:4" ht="12.75" customHeight="1" hidden="1">
      <c r="A403" s="189"/>
      <c r="B403" s="188"/>
      <c r="C403" s="188"/>
      <c r="D403" s="191"/>
    </row>
    <row r="404" spans="1:4" ht="12.75" customHeight="1" hidden="1">
      <c r="A404" s="189"/>
      <c r="B404" s="188"/>
      <c r="C404" s="188"/>
      <c r="D404" s="191"/>
    </row>
    <row r="405" spans="1:4" ht="25.5" customHeight="1" hidden="1">
      <c r="A405" s="200" t="s">
        <v>376</v>
      </c>
      <c r="B405" s="201"/>
      <c r="C405" s="188"/>
      <c r="D405" s="191"/>
    </row>
    <row r="406" spans="1:4" ht="51" customHeight="1" hidden="1">
      <c r="A406" s="202" t="s">
        <v>568</v>
      </c>
      <c r="B406" s="201">
        <v>1000000</v>
      </c>
      <c r="C406" s="188"/>
      <c r="D406" s="191"/>
    </row>
    <row r="407" spans="1:4" ht="76.5" customHeight="1" hidden="1">
      <c r="A407" s="202" t="s">
        <v>567</v>
      </c>
      <c r="B407" s="201">
        <v>1000000</v>
      </c>
      <c r="C407" s="188"/>
      <c r="D407" s="191"/>
    </row>
    <row r="408" spans="1:4" ht="25.5" customHeight="1" hidden="1">
      <c r="A408" s="202" t="s">
        <v>377</v>
      </c>
      <c r="B408" s="201">
        <v>29000000</v>
      </c>
      <c r="C408" s="188"/>
      <c r="D408" s="191"/>
    </row>
    <row r="409" spans="1:4" ht="12.75" hidden="1">
      <c r="A409" s="210" t="s">
        <v>378</v>
      </c>
      <c r="B409" s="201">
        <v>17000000</v>
      </c>
      <c r="C409" s="188"/>
      <c r="D409" s="191"/>
    </row>
    <row r="410" spans="1:4" ht="12.75" hidden="1">
      <c r="A410" s="202" t="s">
        <v>566</v>
      </c>
      <c r="B410" s="201">
        <v>4000000</v>
      </c>
      <c r="C410" s="188"/>
      <c r="D410" s="191">
        <v>5000000</v>
      </c>
    </row>
    <row r="411" spans="1:4" ht="25.5" hidden="1">
      <c r="A411" s="202" t="s">
        <v>565</v>
      </c>
      <c r="B411" s="201">
        <v>38000000</v>
      </c>
      <c r="C411" s="188"/>
      <c r="D411" s="191"/>
    </row>
    <row r="412" spans="1:4" ht="12.75" hidden="1">
      <c r="A412" s="202" t="s">
        <v>564</v>
      </c>
      <c r="B412" s="201">
        <v>4000000</v>
      </c>
      <c r="C412" s="188"/>
      <c r="D412" s="196"/>
    </row>
    <row r="413" spans="1:4" ht="12.75" hidden="1">
      <c r="A413" s="202" t="s">
        <v>379</v>
      </c>
      <c r="B413" s="201">
        <v>1000000</v>
      </c>
      <c r="C413" s="188"/>
      <c r="D413" s="191"/>
    </row>
    <row r="414" spans="1:4" ht="25.5" hidden="1">
      <c r="A414" s="202" t="s">
        <v>563</v>
      </c>
      <c r="B414" s="201">
        <v>1000000</v>
      </c>
      <c r="C414" s="188"/>
      <c r="D414" s="191"/>
    </row>
    <row r="415" spans="1:4" ht="25.5" hidden="1">
      <c r="A415" s="202" t="s">
        <v>562</v>
      </c>
      <c r="B415" s="201">
        <v>15000000</v>
      </c>
      <c r="C415" s="188"/>
      <c r="D415" s="191">
        <v>15000000</v>
      </c>
    </row>
    <row r="416" spans="1:4" ht="12.75" hidden="1">
      <c r="A416" s="189"/>
      <c r="B416" s="188"/>
      <c r="C416" s="188"/>
      <c r="D416" s="191"/>
    </row>
    <row r="417" spans="1:4" ht="12.75" hidden="1">
      <c r="A417" s="189"/>
      <c r="B417" s="188"/>
      <c r="C417" s="188"/>
      <c r="D417" s="191"/>
    </row>
    <row r="418" spans="1:4" ht="12.75" hidden="1">
      <c r="A418" s="200" t="s">
        <v>561</v>
      </c>
      <c r="B418" s="201"/>
      <c r="C418" s="188"/>
      <c r="D418" s="191"/>
    </row>
    <row r="419" spans="1:4" ht="25.5" hidden="1">
      <c r="A419" s="202" t="s">
        <v>560</v>
      </c>
      <c r="B419" s="201">
        <v>0</v>
      </c>
      <c r="C419" s="188"/>
      <c r="D419" s="191"/>
    </row>
    <row r="420" spans="1:4" ht="12.75" hidden="1">
      <c r="A420" s="202" t="s">
        <v>559</v>
      </c>
      <c r="B420" s="201">
        <v>14000000</v>
      </c>
      <c r="C420" s="188"/>
      <c r="D420" s="191"/>
    </row>
    <row r="421" spans="1:4" ht="25.5" hidden="1">
      <c r="A421" s="202" t="s">
        <v>558</v>
      </c>
      <c r="B421" s="201">
        <v>4000000</v>
      </c>
      <c r="C421" s="188"/>
      <c r="D421" s="191"/>
    </row>
    <row r="422" spans="1:4" ht="12.75" hidden="1">
      <c r="A422" s="189"/>
      <c r="B422" s="188"/>
      <c r="C422" s="188"/>
      <c r="D422" s="191"/>
    </row>
    <row r="423" spans="1:4" ht="12.75" hidden="1">
      <c r="A423" s="189"/>
      <c r="B423" s="188"/>
      <c r="C423" s="188"/>
      <c r="D423" s="191"/>
    </row>
    <row r="424" spans="1:4" ht="25.5" hidden="1">
      <c r="A424" s="200" t="s">
        <v>557</v>
      </c>
      <c r="B424" s="201"/>
      <c r="C424" s="188"/>
      <c r="D424" s="191"/>
    </row>
    <row r="425" spans="1:4" ht="25.5" hidden="1">
      <c r="A425" s="202" t="s">
        <v>556</v>
      </c>
      <c r="B425" s="201">
        <v>0</v>
      </c>
      <c r="C425" s="188"/>
      <c r="D425" s="191"/>
    </row>
    <row r="426" spans="1:4" ht="12.75" hidden="1">
      <c r="A426" s="202" t="s">
        <v>555</v>
      </c>
      <c r="B426" s="201">
        <v>1900000</v>
      </c>
      <c r="C426" s="188"/>
      <c r="D426" s="191"/>
    </row>
    <row r="427" spans="1:4" ht="12.75" hidden="1">
      <c r="A427" s="189"/>
      <c r="B427" s="188"/>
      <c r="C427" s="188"/>
      <c r="D427" s="191"/>
    </row>
    <row r="428" spans="1:4" ht="12.75" hidden="1">
      <c r="A428" s="189"/>
      <c r="B428" s="188"/>
      <c r="C428" s="188"/>
      <c r="D428" s="191"/>
    </row>
    <row r="429" spans="1:4" ht="25.5" hidden="1">
      <c r="A429" s="200" t="s">
        <v>554</v>
      </c>
      <c r="B429" s="201"/>
      <c r="C429" s="188"/>
      <c r="D429" s="191"/>
    </row>
    <row r="430" spans="1:4" ht="12.75" hidden="1">
      <c r="A430" s="202" t="s">
        <v>553</v>
      </c>
      <c r="B430" s="201">
        <v>1000000</v>
      </c>
      <c r="C430" s="188"/>
      <c r="D430" s="191"/>
    </row>
    <row r="431" spans="1:4" ht="12.75" hidden="1">
      <c r="A431" s="202"/>
      <c r="B431" s="201"/>
      <c r="C431" s="188"/>
      <c r="D431" s="191"/>
    </row>
    <row r="432" spans="1:4" ht="12.75" hidden="1">
      <c r="A432" s="200" t="s">
        <v>552</v>
      </c>
      <c r="B432" s="201"/>
      <c r="C432" s="188"/>
      <c r="D432" s="191"/>
    </row>
    <row r="433" spans="1:4" ht="12.75" hidden="1">
      <c r="A433" s="202" t="s">
        <v>551</v>
      </c>
      <c r="B433" s="201">
        <v>0</v>
      </c>
      <c r="C433" s="188"/>
      <c r="D433" s="191"/>
    </row>
    <row r="434" spans="1:4" ht="25.5" hidden="1">
      <c r="A434" s="202" t="s">
        <v>550</v>
      </c>
      <c r="B434" s="201">
        <v>1000000</v>
      </c>
      <c r="C434" s="188"/>
      <c r="D434" s="188">
        <v>1000000</v>
      </c>
    </row>
    <row r="435" spans="1:4" ht="12.75" hidden="1">
      <c r="A435" s="202" t="s">
        <v>549</v>
      </c>
      <c r="B435" s="201">
        <v>1000000</v>
      </c>
      <c r="C435" s="188"/>
      <c r="D435" s="188">
        <v>1000000</v>
      </c>
    </row>
    <row r="436" spans="1:4" ht="12.75" hidden="1">
      <c r="A436" s="189"/>
      <c r="B436" s="188"/>
      <c r="C436" s="188"/>
      <c r="D436" s="191"/>
    </row>
    <row r="437" spans="1:4" ht="12.75" hidden="1">
      <c r="A437" s="189"/>
      <c r="B437" s="188"/>
      <c r="C437" s="188"/>
      <c r="D437" s="191"/>
    </row>
    <row r="438" spans="1:4" ht="12.75" hidden="1">
      <c r="A438" s="200" t="s">
        <v>548</v>
      </c>
      <c r="B438" s="201"/>
      <c r="C438" s="188"/>
      <c r="D438" s="191"/>
    </row>
    <row r="439" spans="1:4" ht="25.5" hidden="1">
      <c r="A439" s="202" t="s">
        <v>547</v>
      </c>
      <c r="B439" s="201">
        <v>4000000</v>
      </c>
      <c r="C439" s="188"/>
      <c r="D439" s="191"/>
    </row>
    <row r="440" spans="1:4" ht="25.5" hidden="1">
      <c r="A440" s="202" t="s">
        <v>546</v>
      </c>
      <c r="B440" s="201">
        <v>9000000</v>
      </c>
      <c r="C440" s="188"/>
      <c r="D440" s="191">
        <v>40000000</v>
      </c>
    </row>
    <row r="441" spans="1:4" ht="12.75" hidden="1">
      <c r="A441" s="202"/>
      <c r="B441" s="201"/>
      <c r="C441" s="188"/>
      <c r="D441" s="191"/>
    </row>
    <row r="442" spans="1:4" ht="12.75" hidden="1">
      <c r="A442" s="200" t="s">
        <v>545</v>
      </c>
      <c r="B442" s="201"/>
      <c r="C442" s="188"/>
      <c r="D442" s="191"/>
    </row>
    <row r="443" spans="1:4" ht="25.5" hidden="1">
      <c r="A443" s="202" t="s">
        <v>544</v>
      </c>
      <c r="B443" s="201">
        <v>48000000</v>
      </c>
      <c r="C443" s="188"/>
      <c r="D443" s="191"/>
    </row>
    <row r="444" spans="1:4" ht="12.75" hidden="1">
      <c r="A444" s="202" t="s">
        <v>543</v>
      </c>
      <c r="B444" s="201">
        <v>9000000</v>
      </c>
      <c r="C444" s="188"/>
      <c r="D444" s="191"/>
    </row>
    <row r="445" spans="1:4" ht="12.75" hidden="1">
      <c r="A445" s="210" t="s">
        <v>542</v>
      </c>
      <c r="B445" s="201">
        <v>96000000</v>
      </c>
      <c r="C445" s="188"/>
      <c r="D445" s="191">
        <v>59000000</v>
      </c>
    </row>
    <row r="446" spans="1:4" ht="12.75" hidden="1">
      <c r="A446" s="202" t="s">
        <v>541</v>
      </c>
      <c r="B446" s="201">
        <v>9000000</v>
      </c>
      <c r="C446" s="188"/>
      <c r="D446" s="191"/>
    </row>
    <row r="447" spans="1:4" ht="12.75" hidden="1">
      <c r="A447" s="189"/>
      <c r="B447" s="188"/>
      <c r="C447" s="188"/>
      <c r="D447" s="191"/>
    </row>
    <row r="448" spans="1:4" ht="12.75" hidden="1">
      <c r="A448" s="189"/>
      <c r="B448" s="188"/>
      <c r="C448" s="188"/>
      <c r="D448" s="191"/>
    </row>
    <row r="449" spans="1:4" ht="12.75" hidden="1">
      <c r="A449" s="193" t="s">
        <v>540</v>
      </c>
      <c r="B449" s="188"/>
      <c r="C449" s="188"/>
      <c r="D449" s="191"/>
    </row>
    <row r="450" spans="1:4" ht="25.5" hidden="1">
      <c r="A450" s="189" t="s">
        <v>539</v>
      </c>
      <c r="B450" s="188">
        <v>1000000</v>
      </c>
      <c r="C450" s="188"/>
      <c r="D450" s="191"/>
    </row>
    <row r="451" spans="1:4" ht="12.75" hidden="1">
      <c r="A451" s="189"/>
      <c r="B451" s="188"/>
      <c r="C451" s="188"/>
      <c r="D451" s="191"/>
    </row>
    <row r="452" spans="1:4" ht="12.75" hidden="1">
      <c r="A452" s="189"/>
      <c r="B452" s="188"/>
      <c r="C452" s="188"/>
      <c r="D452" s="191"/>
    </row>
    <row r="453" spans="1:4" ht="12.75" hidden="1">
      <c r="A453" s="200" t="s">
        <v>538</v>
      </c>
      <c r="B453" s="201"/>
      <c r="C453" s="188"/>
      <c r="D453" s="191"/>
    </row>
    <row r="454" spans="1:4" ht="25.5" hidden="1">
      <c r="A454" s="215" t="s">
        <v>537</v>
      </c>
      <c r="B454" s="201"/>
      <c r="C454" s="188"/>
      <c r="D454" s="191"/>
    </row>
    <row r="455" spans="1:4" ht="12.75" hidden="1">
      <c r="A455" s="210" t="s">
        <v>536</v>
      </c>
      <c r="B455" s="201">
        <v>48000000</v>
      </c>
      <c r="C455" s="188"/>
      <c r="D455" s="191"/>
    </row>
    <row r="456" spans="1:4" ht="12.75" hidden="1">
      <c r="A456" s="215" t="s">
        <v>535</v>
      </c>
      <c r="B456" s="216">
        <v>60000000</v>
      </c>
      <c r="C456" s="195"/>
      <c r="D456" s="191"/>
    </row>
    <row r="457" spans="1:4" ht="12.75" hidden="1">
      <c r="A457" s="210" t="s">
        <v>534</v>
      </c>
      <c r="B457" s="201">
        <v>67000000</v>
      </c>
      <c r="C457" s="188"/>
      <c r="D457" s="191"/>
    </row>
    <row r="458" spans="1:4" ht="12.75" hidden="1">
      <c r="A458" s="210" t="s">
        <v>533</v>
      </c>
      <c r="B458" s="201">
        <v>192000000</v>
      </c>
      <c r="C458" s="188"/>
      <c r="D458" s="191"/>
    </row>
    <row r="459" spans="1:4" ht="12.75" hidden="1">
      <c r="A459" s="210" t="s">
        <v>532</v>
      </c>
      <c r="B459" s="201">
        <v>8000000</v>
      </c>
      <c r="C459" s="188"/>
      <c r="D459" s="191"/>
    </row>
    <row r="460" spans="1:4" ht="25.5" hidden="1">
      <c r="A460" s="210" t="s">
        <v>531</v>
      </c>
      <c r="B460" s="201">
        <v>4000000</v>
      </c>
      <c r="C460" s="188"/>
      <c r="D460" s="191"/>
    </row>
    <row r="461" spans="1:4" ht="12.75" hidden="1">
      <c r="A461" s="202" t="s">
        <v>530</v>
      </c>
      <c r="B461" s="201">
        <v>48000000</v>
      </c>
      <c r="C461" s="188"/>
      <c r="D461" s="191"/>
    </row>
    <row r="462" spans="1:4" ht="12.75" hidden="1">
      <c r="A462" s="202" t="s">
        <v>529</v>
      </c>
      <c r="B462" s="201">
        <v>14000000</v>
      </c>
      <c r="C462" s="188"/>
      <c r="D462" s="191"/>
    </row>
    <row r="463" spans="1:4" ht="12.75" hidden="1">
      <c r="A463" s="202" t="s">
        <v>528</v>
      </c>
      <c r="B463" s="201">
        <v>500000</v>
      </c>
      <c r="C463" s="188"/>
      <c r="D463" s="191"/>
    </row>
    <row r="464" spans="1:4" ht="12.75" hidden="1">
      <c r="A464" s="202" t="s">
        <v>527</v>
      </c>
      <c r="B464" s="201">
        <v>9000000</v>
      </c>
      <c r="C464" s="188"/>
      <c r="D464" s="191"/>
    </row>
    <row r="465" spans="1:4" ht="12.75" hidden="1">
      <c r="A465" s="189"/>
      <c r="B465" s="188"/>
      <c r="C465" s="188"/>
      <c r="D465" s="191"/>
    </row>
    <row r="466" spans="1:4" ht="12.75" hidden="1">
      <c r="A466" s="189"/>
      <c r="B466" s="188"/>
      <c r="C466" s="188"/>
      <c r="D466" s="191"/>
    </row>
    <row r="467" spans="1:4" ht="12.75" hidden="1">
      <c r="A467" s="200" t="s">
        <v>526</v>
      </c>
      <c r="B467" s="201"/>
      <c r="C467" s="188"/>
      <c r="D467" s="191"/>
    </row>
    <row r="468" spans="1:4" ht="12.75" hidden="1">
      <c r="A468" s="202" t="s">
        <v>525</v>
      </c>
      <c r="B468" s="201">
        <v>9000000</v>
      </c>
      <c r="C468" s="188"/>
      <c r="D468" s="191">
        <v>40000000</v>
      </c>
    </row>
    <row r="469" spans="1:4" ht="12.75" hidden="1">
      <c r="A469" s="202" t="s">
        <v>524</v>
      </c>
      <c r="B469" s="201">
        <v>9000000</v>
      </c>
      <c r="C469" s="188"/>
      <c r="D469" s="191"/>
    </row>
    <row r="470" spans="1:4" ht="12.75" hidden="1">
      <c r="A470" s="189"/>
      <c r="B470" s="188"/>
      <c r="C470" s="188"/>
      <c r="D470" s="191"/>
    </row>
    <row r="471" spans="1:4" ht="31.5" customHeight="1" hidden="1">
      <c r="A471" s="189"/>
      <c r="B471" s="188"/>
      <c r="C471" s="188"/>
      <c r="D471" s="191"/>
    </row>
    <row r="472" spans="1:4" ht="12.75" hidden="1">
      <c r="A472" s="200" t="s">
        <v>522</v>
      </c>
      <c r="B472" s="201"/>
      <c r="C472" s="188"/>
      <c r="D472" s="191"/>
    </row>
    <row r="473" spans="1:4" ht="12.75" hidden="1">
      <c r="A473" s="202" t="s">
        <v>523</v>
      </c>
      <c r="B473" s="201">
        <v>76000000</v>
      </c>
      <c r="C473" s="188"/>
      <c r="D473" s="191"/>
    </row>
    <row r="474" spans="1:4" ht="12.75" hidden="1">
      <c r="A474" s="202" t="s">
        <v>522</v>
      </c>
      <c r="B474" s="201">
        <v>57000000</v>
      </c>
      <c r="C474" s="188"/>
      <c r="D474" s="191"/>
    </row>
    <row r="475" spans="1:4" ht="12.75" hidden="1">
      <c r="A475" s="189"/>
      <c r="B475" s="188"/>
      <c r="C475" s="188"/>
      <c r="D475" s="191"/>
    </row>
    <row r="476" spans="1:4" ht="12.75" hidden="1">
      <c r="A476" s="189"/>
      <c r="B476" s="188"/>
      <c r="C476" s="188"/>
      <c r="D476" s="191"/>
    </row>
    <row r="477" spans="1:4" ht="12.75" hidden="1">
      <c r="A477" s="200" t="s">
        <v>521</v>
      </c>
      <c r="B477" s="201"/>
      <c r="C477" s="188"/>
      <c r="D477" s="191"/>
    </row>
    <row r="478" spans="1:4" ht="12.75" hidden="1">
      <c r="A478" s="202" t="s">
        <v>520</v>
      </c>
      <c r="B478" s="201">
        <v>19000000</v>
      </c>
      <c r="C478" s="188"/>
      <c r="D478" s="191"/>
    </row>
    <row r="479" spans="1:4" ht="12.75" hidden="1">
      <c r="A479" s="202" t="s">
        <v>519</v>
      </c>
      <c r="B479" s="201">
        <v>5000000</v>
      </c>
      <c r="C479" s="188"/>
      <c r="D479" s="191"/>
    </row>
    <row r="480" spans="1:4" ht="12.75" hidden="1">
      <c r="A480" s="202" t="s">
        <v>518</v>
      </c>
      <c r="B480" s="201">
        <v>4000000</v>
      </c>
      <c r="C480" s="188"/>
      <c r="D480" s="191"/>
    </row>
    <row r="481" spans="1:4" ht="12.75" hidden="1">
      <c r="A481" s="189"/>
      <c r="B481" s="188"/>
      <c r="C481" s="188"/>
      <c r="D481" s="191"/>
    </row>
    <row r="482" spans="1:4" ht="12.75" hidden="1">
      <c r="A482" s="189"/>
      <c r="B482" s="188"/>
      <c r="C482" s="188"/>
      <c r="D482" s="191"/>
    </row>
    <row r="483" spans="1:4" ht="25.5" hidden="1">
      <c r="A483" s="200" t="s">
        <v>517</v>
      </c>
      <c r="B483" s="201"/>
      <c r="C483" s="188"/>
      <c r="D483" s="191"/>
    </row>
    <row r="484" spans="1:4" ht="12.75" hidden="1">
      <c r="A484" s="202" t="s">
        <v>516</v>
      </c>
      <c r="B484" s="201">
        <v>67000000</v>
      </c>
      <c r="C484" s="188"/>
      <c r="D484" s="191"/>
    </row>
    <row r="485" spans="1:4" ht="12.75" hidden="1">
      <c r="A485" s="189"/>
      <c r="B485" s="188"/>
      <c r="C485" s="188"/>
      <c r="D485" s="191"/>
    </row>
    <row r="486" spans="1:4" ht="12.75" hidden="1">
      <c r="A486" s="189"/>
      <c r="B486" s="188"/>
      <c r="C486" s="188"/>
      <c r="D486" s="191"/>
    </row>
    <row r="487" spans="1:4" ht="38.25" hidden="1">
      <c r="A487" s="200" t="s">
        <v>515</v>
      </c>
      <c r="B487" s="201"/>
      <c r="C487" s="188"/>
      <c r="D487" s="191"/>
    </row>
    <row r="488" spans="1:4" ht="25.5" hidden="1">
      <c r="A488" s="202" t="s">
        <v>322</v>
      </c>
      <c r="B488" s="201">
        <v>57000000</v>
      </c>
      <c r="C488" s="188"/>
      <c r="D488" s="191">
        <v>60000000</v>
      </c>
    </row>
    <row r="489" spans="1:4" ht="12.75" hidden="1">
      <c r="A489" s="202" t="s">
        <v>323</v>
      </c>
      <c r="B489" s="201">
        <v>9000000</v>
      </c>
      <c r="C489" s="188"/>
      <c r="D489" s="191">
        <v>90000000</v>
      </c>
    </row>
    <row r="490" spans="1:4" ht="25.5" hidden="1">
      <c r="A490" s="202" t="s">
        <v>514</v>
      </c>
      <c r="B490" s="201">
        <v>1000000</v>
      </c>
      <c r="C490" s="188"/>
      <c r="D490" s="191"/>
    </row>
    <row r="491" spans="1:4" ht="12.75" hidden="1">
      <c r="A491" s="189"/>
      <c r="B491" s="188"/>
      <c r="C491" s="188"/>
      <c r="D491" s="191"/>
    </row>
    <row r="492" spans="1:4" ht="12.75" hidden="1">
      <c r="A492" s="189"/>
      <c r="B492" s="188"/>
      <c r="C492" s="188"/>
      <c r="D492" s="191"/>
    </row>
    <row r="493" spans="1:4" ht="25.5" hidden="1">
      <c r="A493" s="200" t="s">
        <v>513</v>
      </c>
      <c r="B493" s="201"/>
      <c r="C493" s="188"/>
      <c r="D493" s="191"/>
    </row>
    <row r="494" spans="1:4" ht="25.5" hidden="1">
      <c r="A494" s="202" t="s">
        <v>512</v>
      </c>
      <c r="B494" s="201">
        <v>2500000</v>
      </c>
      <c r="C494" s="188"/>
      <c r="D494" s="191"/>
    </row>
    <row r="495" spans="1:4" ht="25.5" hidden="1">
      <c r="A495" s="202" t="s">
        <v>325</v>
      </c>
      <c r="B495" s="201">
        <v>38000000</v>
      </c>
      <c r="C495" s="188"/>
      <c r="D495" s="191">
        <v>26000000</v>
      </c>
    </row>
    <row r="496" spans="1:4" ht="12.75" hidden="1">
      <c r="A496" s="202" t="s">
        <v>326</v>
      </c>
      <c r="B496" s="201">
        <v>15000000</v>
      </c>
      <c r="C496" s="188"/>
      <c r="D496" s="191"/>
    </row>
    <row r="497" spans="1:4" ht="25.5" hidden="1">
      <c r="A497" s="202" t="s">
        <v>511</v>
      </c>
      <c r="B497" s="201">
        <v>0</v>
      </c>
      <c r="C497" s="188"/>
      <c r="D497" s="191"/>
    </row>
    <row r="498" spans="1:4" ht="12.75" hidden="1">
      <c r="A498" s="202" t="s">
        <v>327</v>
      </c>
      <c r="B498" s="201">
        <v>0</v>
      </c>
      <c r="C498" s="188"/>
      <c r="D498" s="191"/>
    </row>
    <row r="499" spans="1:4" ht="25.5" hidden="1">
      <c r="A499" s="202" t="s">
        <v>328</v>
      </c>
      <c r="B499" s="201">
        <v>24000000</v>
      </c>
      <c r="C499" s="188"/>
      <c r="D499" s="191"/>
    </row>
    <row r="500" spans="1:4" ht="12.75" hidden="1">
      <c r="A500" s="189"/>
      <c r="B500" s="188"/>
      <c r="C500" s="188"/>
      <c r="D500" s="191"/>
    </row>
    <row r="501" spans="1:4" ht="12.75" hidden="1">
      <c r="A501" s="189"/>
      <c r="B501" s="188"/>
      <c r="C501" s="188"/>
      <c r="D501" s="191"/>
    </row>
    <row r="502" spans="1:4" ht="25.5" hidden="1">
      <c r="A502" s="200" t="s">
        <v>510</v>
      </c>
      <c r="B502" s="201"/>
      <c r="C502" s="188"/>
      <c r="D502" s="191"/>
    </row>
    <row r="503" spans="1:4" ht="12.75" hidden="1">
      <c r="A503" s="202" t="s">
        <v>330</v>
      </c>
      <c r="B503" s="201">
        <v>250000000</v>
      </c>
      <c r="C503" s="188"/>
      <c r="D503" s="191"/>
    </row>
    <row r="504" spans="1:4" ht="12.75" hidden="1">
      <c r="A504" s="202" t="s">
        <v>331</v>
      </c>
      <c r="B504" s="201">
        <v>19000000</v>
      </c>
      <c r="C504" s="188"/>
      <c r="D504" s="191"/>
    </row>
    <row r="505" spans="1:4" ht="12.75" hidden="1">
      <c r="A505" s="189"/>
      <c r="B505" s="188"/>
      <c r="C505" s="188"/>
      <c r="D505" s="191"/>
    </row>
    <row r="506" spans="1:4" ht="12.75" hidden="1">
      <c r="A506" s="189"/>
      <c r="B506" s="188"/>
      <c r="C506" s="188"/>
      <c r="D506" s="191"/>
    </row>
    <row r="507" spans="1:4" ht="12.75" hidden="1">
      <c r="A507" s="200" t="s">
        <v>509</v>
      </c>
      <c r="B507" s="201"/>
      <c r="C507" s="188"/>
      <c r="D507" s="191"/>
    </row>
    <row r="508" spans="1:4" ht="38.25" hidden="1">
      <c r="A508" s="210" t="s">
        <v>333</v>
      </c>
      <c r="B508" s="201">
        <v>19000000</v>
      </c>
      <c r="C508" s="188"/>
      <c r="D508" s="191"/>
    </row>
    <row r="509" spans="1:4" ht="12.75" hidden="1">
      <c r="A509" s="189"/>
      <c r="B509" s="188"/>
      <c r="C509" s="188"/>
      <c r="D509" s="191"/>
    </row>
    <row r="510" spans="1:4" ht="12.75" hidden="1">
      <c r="A510" s="189"/>
      <c r="B510" s="188"/>
      <c r="C510" s="188"/>
      <c r="D510" s="191"/>
    </row>
    <row r="511" spans="1:4" ht="12.75" hidden="1">
      <c r="A511" s="200" t="s">
        <v>508</v>
      </c>
      <c r="B511" s="201"/>
      <c r="C511" s="188"/>
      <c r="D511" s="191"/>
    </row>
    <row r="512" spans="1:4" ht="12.75" hidden="1">
      <c r="A512" s="202" t="s">
        <v>335</v>
      </c>
      <c r="B512" s="201">
        <v>9000000</v>
      </c>
      <c r="C512" s="188"/>
      <c r="D512" s="191"/>
    </row>
    <row r="513" spans="1:4" ht="12.75" hidden="1">
      <c r="A513" s="202" t="s">
        <v>336</v>
      </c>
      <c r="B513" s="201">
        <v>4000000</v>
      </c>
      <c r="C513" s="188"/>
      <c r="D513" s="191"/>
    </row>
    <row r="514" spans="1:4" ht="12.75" hidden="1">
      <c r="A514" s="202" t="s">
        <v>337</v>
      </c>
      <c r="B514" s="201">
        <v>1000000</v>
      </c>
      <c r="C514" s="188"/>
      <c r="D514" s="191"/>
    </row>
    <row r="515" spans="1:4" ht="12.75" hidden="1">
      <c r="A515" s="189"/>
      <c r="B515" s="188"/>
      <c r="C515" s="188"/>
      <c r="D515" s="191"/>
    </row>
    <row r="516" spans="1:4" ht="12.75" hidden="1">
      <c r="A516" s="189"/>
      <c r="B516" s="188"/>
      <c r="C516" s="188"/>
      <c r="D516" s="191"/>
    </row>
    <row r="517" spans="1:4" ht="25.5" hidden="1">
      <c r="A517" s="200" t="s">
        <v>507</v>
      </c>
      <c r="B517" s="201"/>
      <c r="C517" s="188"/>
      <c r="D517" s="191"/>
    </row>
    <row r="518" spans="1:4" ht="12.75" hidden="1">
      <c r="A518" s="202" t="s">
        <v>506</v>
      </c>
      <c r="B518" s="201">
        <v>0</v>
      </c>
      <c r="C518" s="188"/>
      <c r="D518" s="191"/>
    </row>
    <row r="519" spans="1:4" ht="12.75" hidden="1">
      <c r="A519" s="202" t="s">
        <v>420</v>
      </c>
      <c r="B519" s="201">
        <v>200000000</v>
      </c>
      <c r="C519" s="188"/>
      <c r="D519" s="191">
        <v>100000000</v>
      </c>
    </row>
    <row r="520" spans="1:4" ht="12.75" hidden="1">
      <c r="A520" s="189"/>
      <c r="B520" s="188"/>
      <c r="C520" s="188"/>
      <c r="D520" s="191"/>
    </row>
    <row r="521" spans="1:4" ht="12.75" hidden="1">
      <c r="A521" s="193" t="s">
        <v>505</v>
      </c>
      <c r="B521" s="188"/>
      <c r="C521" s="188"/>
      <c r="D521" s="191"/>
    </row>
    <row r="522" spans="1:4" ht="12.75" hidden="1">
      <c r="A522" s="189" t="s">
        <v>504</v>
      </c>
      <c r="B522" s="188">
        <v>0</v>
      </c>
      <c r="C522" s="188"/>
      <c r="D522" s="191"/>
    </row>
    <row r="523" spans="1:4" ht="12.75" hidden="1">
      <c r="A523" s="189"/>
      <c r="B523" s="188"/>
      <c r="C523" s="188"/>
      <c r="D523" s="191"/>
    </row>
    <row r="524" spans="1:4" ht="12.75" hidden="1">
      <c r="A524" s="189"/>
      <c r="B524" s="188"/>
      <c r="C524" s="188"/>
      <c r="D524" s="191"/>
    </row>
    <row r="525" spans="1:4" ht="12.75" hidden="1">
      <c r="A525" s="193" t="s">
        <v>503</v>
      </c>
      <c r="B525" s="188"/>
      <c r="C525" s="188"/>
      <c r="D525" s="191"/>
    </row>
    <row r="526" spans="1:4" ht="25.5" hidden="1">
      <c r="A526" s="189" t="s">
        <v>404</v>
      </c>
      <c r="B526" s="188">
        <v>963000000</v>
      </c>
      <c r="C526" s="188"/>
      <c r="D526" s="191"/>
    </row>
    <row r="527" spans="1:4" ht="12.75" hidden="1">
      <c r="A527" s="189" t="s">
        <v>502</v>
      </c>
      <c r="B527" s="188">
        <v>28000000</v>
      </c>
      <c r="C527" s="188"/>
      <c r="D527" s="191"/>
    </row>
    <row r="528" spans="1:4" ht="25.5" hidden="1">
      <c r="A528" s="189" t="s">
        <v>501</v>
      </c>
      <c r="B528" s="188">
        <v>10000000</v>
      </c>
      <c r="C528" s="188"/>
      <c r="D528" s="191"/>
    </row>
    <row r="529" spans="1:4" ht="12.75" hidden="1">
      <c r="A529" s="189"/>
      <c r="B529" s="188"/>
      <c r="C529" s="188"/>
      <c r="D529" s="191"/>
    </row>
    <row r="530" spans="1:4" ht="12.75" hidden="1">
      <c r="A530" s="193" t="s">
        <v>500</v>
      </c>
      <c r="B530" s="188"/>
      <c r="C530" s="188"/>
      <c r="D530" s="191"/>
    </row>
    <row r="531" spans="1:4" ht="12.75" hidden="1">
      <c r="A531" s="189" t="s">
        <v>408</v>
      </c>
      <c r="B531" s="188">
        <v>44500000</v>
      </c>
      <c r="C531" s="188"/>
      <c r="D531" s="191"/>
    </row>
    <row r="532" spans="1:4" ht="12.75" hidden="1">
      <c r="A532" s="189"/>
      <c r="B532" s="188"/>
      <c r="C532" s="188"/>
      <c r="D532" s="191"/>
    </row>
    <row r="533" spans="1:4" ht="12.75">
      <c r="A533" s="189"/>
      <c r="B533" s="188"/>
      <c r="C533" s="188"/>
      <c r="D533" s="191"/>
    </row>
    <row r="534" spans="1:4" ht="12.75" hidden="1">
      <c r="A534" s="200" t="s">
        <v>370</v>
      </c>
      <c r="B534" s="201"/>
      <c r="C534" s="188"/>
      <c r="D534" s="191"/>
    </row>
    <row r="535" spans="1:4" ht="25.5" hidden="1">
      <c r="A535" s="210" t="s">
        <v>371</v>
      </c>
      <c r="B535" s="201">
        <v>9000000</v>
      </c>
      <c r="C535" s="188"/>
      <c r="D535" s="191"/>
    </row>
    <row r="536" spans="1:4" ht="25.5" hidden="1">
      <c r="A536" s="200" t="s">
        <v>372</v>
      </c>
      <c r="B536" s="201"/>
      <c r="C536" s="188"/>
      <c r="D536" s="191"/>
    </row>
    <row r="537" spans="1:4" ht="12.75" hidden="1">
      <c r="A537" s="202" t="s">
        <v>373</v>
      </c>
      <c r="B537" s="201">
        <v>48000000</v>
      </c>
      <c r="C537" s="188"/>
      <c r="D537" s="191">
        <v>100000000</v>
      </c>
    </row>
    <row r="538" spans="1:4" ht="12.75" hidden="1">
      <c r="A538" s="202" t="s">
        <v>374</v>
      </c>
      <c r="B538" s="201">
        <v>480000000</v>
      </c>
      <c r="C538" s="188"/>
      <c r="D538" s="191">
        <v>500000000</v>
      </c>
    </row>
    <row r="539" spans="1:4" ht="12.75" hidden="1">
      <c r="A539" s="189"/>
      <c r="B539" s="188"/>
      <c r="C539" s="188"/>
      <c r="D539" s="191"/>
    </row>
    <row r="540" spans="1:4" ht="12.75" hidden="1">
      <c r="A540" s="189"/>
      <c r="B540" s="188"/>
      <c r="C540" s="188"/>
      <c r="D540" s="191"/>
    </row>
    <row r="541" spans="1:4" ht="51" hidden="1">
      <c r="A541" s="200" t="s">
        <v>499</v>
      </c>
      <c r="B541" s="201"/>
      <c r="C541" s="188"/>
      <c r="D541" s="191"/>
    </row>
    <row r="542" spans="1:4" ht="12.75" hidden="1">
      <c r="A542" s="202" t="s">
        <v>498</v>
      </c>
      <c r="B542" s="201">
        <v>15400000</v>
      </c>
      <c r="C542" s="188"/>
      <c r="D542" s="191"/>
    </row>
    <row r="543" spans="1:4" ht="25.5" hidden="1">
      <c r="A543" s="202" t="s">
        <v>497</v>
      </c>
      <c r="B543" s="201">
        <v>8000000</v>
      </c>
      <c r="C543" s="188"/>
      <c r="D543" s="191"/>
    </row>
    <row r="544" spans="1:4" ht="25.5" hidden="1">
      <c r="A544" s="202" t="s">
        <v>496</v>
      </c>
      <c r="B544" s="201">
        <v>8000000</v>
      </c>
      <c r="C544" s="188"/>
      <c r="D544" s="191"/>
    </row>
    <row r="545" spans="1:4" ht="25.5" hidden="1">
      <c r="A545" s="210" t="s">
        <v>495</v>
      </c>
      <c r="B545" s="201">
        <v>8000000</v>
      </c>
      <c r="C545" s="188"/>
      <c r="D545" s="191"/>
    </row>
    <row r="546" spans="1:4" ht="12.75">
      <c r="A546" s="189"/>
      <c r="B546" s="188"/>
      <c r="C546" s="188"/>
      <c r="D546" s="191"/>
    </row>
    <row r="547" spans="1:4" ht="12.75">
      <c r="A547" s="189"/>
      <c r="B547" s="188"/>
      <c r="C547" s="188"/>
      <c r="D547" s="191"/>
    </row>
    <row r="548" spans="1:4" ht="12.75" hidden="1">
      <c r="A548" s="200" t="s">
        <v>494</v>
      </c>
      <c r="B548" s="201"/>
      <c r="C548" s="188"/>
      <c r="D548" s="191"/>
    </row>
    <row r="549" spans="1:4" ht="12.75" hidden="1">
      <c r="A549" s="202" t="s">
        <v>493</v>
      </c>
      <c r="B549" s="201">
        <v>6000000</v>
      </c>
      <c r="C549" s="188"/>
      <c r="D549" s="191"/>
    </row>
    <row r="550" spans="1:4" ht="12.75" hidden="1">
      <c r="A550" s="202" t="s">
        <v>392</v>
      </c>
      <c r="B550" s="201">
        <v>114000000</v>
      </c>
      <c r="C550" s="188"/>
      <c r="D550" s="191"/>
    </row>
    <row r="551" spans="1:4" ht="12.75" hidden="1">
      <c r="A551" s="202" t="s">
        <v>492</v>
      </c>
      <c r="B551" s="201">
        <v>115000000</v>
      </c>
      <c r="C551" s="188"/>
      <c r="D551" s="191"/>
    </row>
    <row r="552" spans="1:4" ht="12.75" hidden="1">
      <c r="A552" s="202" t="s">
        <v>491</v>
      </c>
      <c r="B552" s="201">
        <v>19000000</v>
      </c>
      <c r="C552" s="188"/>
      <c r="D552" s="191"/>
    </row>
    <row r="553" spans="1:4" ht="12.75" hidden="1">
      <c r="A553" s="202" t="s">
        <v>490</v>
      </c>
      <c r="B553" s="201">
        <v>0</v>
      </c>
      <c r="C553" s="188"/>
      <c r="D553" s="191"/>
    </row>
    <row r="554" spans="1:4" ht="12.75" hidden="1">
      <c r="A554" s="202" t="s">
        <v>489</v>
      </c>
      <c r="B554" s="201">
        <v>1000000</v>
      </c>
      <c r="C554" s="188"/>
      <c r="D554" s="191"/>
    </row>
    <row r="555" spans="1:4" ht="25.5" hidden="1">
      <c r="A555" s="202" t="s">
        <v>488</v>
      </c>
      <c r="B555" s="201">
        <v>19000000</v>
      </c>
      <c r="C555" s="188"/>
      <c r="D555" s="191"/>
    </row>
    <row r="556" spans="1:4" ht="12.75" hidden="1">
      <c r="A556" s="189"/>
      <c r="B556" s="188"/>
      <c r="C556" s="188"/>
      <c r="D556" s="191"/>
    </row>
    <row r="557" spans="1:4" ht="12.75" hidden="1">
      <c r="A557" s="189"/>
      <c r="B557" s="188"/>
      <c r="C557" s="188"/>
      <c r="D557" s="191"/>
    </row>
    <row r="558" spans="1:4" ht="12.75" hidden="1">
      <c r="A558" s="200" t="s">
        <v>381</v>
      </c>
      <c r="B558" s="201"/>
      <c r="C558" s="188"/>
      <c r="D558" s="191"/>
    </row>
    <row r="559" spans="1:4" ht="12.75" hidden="1">
      <c r="A559" s="202" t="s">
        <v>382</v>
      </c>
      <c r="B559" s="201">
        <v>3000000</v>
      </c>
      <c r="C559" s="188"/>
      <c r="D559" s="191"/>
    </row>
    <row r="560" spans="1:4" ht="25.5" hidden="1">
      <c r="A560" s="210" t="s">
        <v>383</v>
      </c>
      <c r="B560" s="201">
        <v>3000000</v>
      </c>
      <c r="C560" s="188"/>
      <c r="D560" s="191"/>
    </row>
    <row r="561" spans="1:4" ht="12.75" hidden="1">
      <c r="A561" s="189"/>
      <c r="B561" s="188"/>
      <c r="C561" s="188"/>
      <c r="D561" s="191"/>
    </row>
    <row r="562" spans="1:4" ht="25.5" hidden="1">
      <c r="A562" s="200" t="s">
        <v>487</v>
      </c>
      <c r="B562" s="201"/>
      <c r="C562" s="188"/>
      <c r="D562" s="191"/>
    </row>
    <row r="563" spans="1:4" ht="25.5" hidden="1">
      <c r="A563" s="202" t="s">
        <v>355</v>
      </c>
      <c r="B563" s="201">
        <v>57000000</v>
      </c>
      <c r="C563" s="188"/>
      <c r="D563" s="191">
        <v>70000000</v>
      </c>
    </row>
    <row r="564" spans="1:4" ht="12.75" hidden="1">
      <c r="A564" s="202" t="s">
        <v>486</v>
      </c>
      <c r="B564" s="201">
        <v>14000000</v>
      </c>
      <c r="C564" s="188"/>
      <c r="D564" s="191"/>
    </row>
    <row r="565" spans="1:4" ht="25.5" hidden="1">
      <c r="A565" s="202" t="s">
        <v>485</v>
      </c>
      <c r="B565" s="201">
        <v>67000000</v>
      </c>
      <c r="C565" s="188"/>
      <c r="D565" s="191">
        <v>80000000</v>
      </c>
    </row>
    <row r="566" spans="1:4" ht="12.75" hidden="1">
      <c r="A566" s="189"/>
      <c r="B566" s="188"/>
      <c r="C566" s="188"/>
      <c r="D566" s="191"/>
    </row>
    <row r="567" spans="1:4" ht="12.75">
      <c r="A567" s="189"/>
      <c r="B567" s="188"/>
      <c r="C567" s="188"/>
      <c r="D567" s="191"/>
    </row>
    <row r="568" spans="1:4" ht="12.75" hidden="1">
      <c r="A568" s="200" t="s">
        <v>484</v>
      </c>
      <c r="B568" s="201"/>
      <c r="C568" s="188"/>
      <c r="D568" s="191"/>
    </row>
    <row r="569" spans="1:4" ht="12.75" hidden="1">
      <c r="A569" s="210" t="s">
        <v>483</v>
      </c>
      <c r="B569" s="201">
        <v>20000000</v>
      </c>
      <c r="C569" s="188"/>
      <c r="D569" s="191"/>
    </row>
    <row r="570" spans="1:4" ht="12.75" hidden="1">
      <c r="A570" s="202" t="s">
        <v>482</v>
      </c>
      <c r="B570" s="201">
        <v>14500000</v>
      </c>
      <c r="C570" s="188"/>
      <c r="D570" s="191"/>
    </row>
    <row r="571" spans="1:4" ht="12.75">
      <c r="A571" s="189"/>
      <c r="B571" s="188"/>
      <c r="C571" s="188"/>
      <c r="D571" s="191"/>
    </row>
    <row r="572" spans="1:4" ht="12.75" hidden="1">
      <c r="A572" s="189"/>
      <c r="B572" s="188"/>
      <c r="C572" s="188"/>
      <c r="D572" s="191"/>
    </row>
    <row r="573" spans="1:4" ht="12.75" hidden="1">
      <c r="A573" s="200" t="s">
        <v>481</v>
      </c>
      <c r="B573" s="201"/>
      <c r="C573" s="188"/>
      <c r="D573" s="191"/>
    </row>
    <row r="574" spans="1:4" ht="25.5" hidden="1">
      <c r="A574" s="202" t="s">
        <v>480</v>
      </c>
      <c r="B574" s="201">
        <v>38000000</v>
      </c>
      <c r="C574" s="188"/>
      <c r="D574" s="191"/>
    </row>
    <row r="575" spans="1:4" ht="12.75" hidden="1">
      <c r="A575" s="202" t="s">
        <v>479</v>
      </c>
      <c r="B575" s="201">
        <v>0</v>
      </c>
      <c r="C575" s="188"/>
      <c r="D575" s="191"/>
    </row>
    <row r="576" spans="1:4" ht="25.5" hidden="1">
      <c r="A576" s="202" t="s">
        <v>478</v>
      </c>
      <c r="B576" s="201">
        <v>48000000</v>
      </c>
      <c r="C576" s="188"/>
      <c r="D576" s="191"/>
    </row>
    <row r="577" spans="1:4" ht="12.75" hidden="1">
      <c r="A577" s="202" t="s">
        <v>477</v>
      </c>
      <c r="B577" s="201">
        <v>4000000</v>
      </c>
      <c r="C577" s="188"/>
      <c r="D577" s="191"/>
    </row>
    <row r="578" spans="1:4" ht="12.75" hidden="1">
      <c r="A578" s="202" t="s">
        <v>476</v>
      </c>
      <c r="B578" s="201">
        <v>36000000</v>
      </c>
      <c r="C578" s="188"/>
      <c r="D578" s="191"/>
    </row>
    <row r="579" spans="1:4" ht="12.75" hidden="1">
      <c r="A579" s="202" t="s">
        <v>475</v>
      </c>
      <c r="B579" s="201">
        <v>12600000</v>
      </c>
      <c r="C579" s="188"/>
      <c r="D579" s="191"/>
    </row>
    <row r="580" spans="1:4" ht="25.5" hidden="1">
      <c r="A580" s="202" t="s">
        <v>474</v>
      </c>
      <c r="B580" s="201">
        <v>18000000</v>
      </c>
      <c r="C580" s="188"/>
      <c r="D580" s="191"/>
    </row>
    <row r="581" spans="1:4" ht="12.75" hidden="1">
      <c r="A581" s="202" t="s">
        <v>473</v>
      </c>
      <c r="B581" s="201">
        <v>34000000</v>
      </c>
      <c r="C581" s="188"/>
      <c r="D581" s="191"/>
    </row>
    <row r="582" spans="1:4" ht="12.75" hidden="1">
      <c r="A582" s="189"/>
      <c r="B582" s="188"/>
      <c r="C582" s="188"/>
      <c r="D582" s="191"/>
    </row>
    <row r="583" spans="1:4" ht="12.75" hidden="1">
      <c r="A583" s="189"/>
      <c r="B583" s="188"/>
      <c r="C583" s="188"/>
      <c r="D583" s="191"/>
    </row>
    <row r="584" spans="1:4" ht="12.75" hidden="1">
      <c r="A584" s="200" t="s">
        <v>472</v>
      </c>
      <c r="B584" s="201"/>
      <c r="C584" s="188"/>
      <c r="D584" s="191"/>
    </row>
    <row r="585" spans="1:4" ht="12.75" hidden="1">
      <c r="A585" s="210" t="s">
        <v>471</v>
      </c>
      <c r="B585" s="201">
        <v>34000000</v>
      </c>
      <c r="C585" s="188"/>
      <c r="D585" s="191"/>
    </row>
    <row r="586" spans="1:4" ht="12.75" hidden="1">
      <c r="A586" s="202" t="s">
        <v>470</v>
      </c>
      <c r="B586" s="201">
        <v>0</v>
      </c>
      <c r="C586" s="188"/>
      <c r="D586" s="191"/>
    </row>
    <row r="587" spans="1:4" ht="12.75" hidden="1">
      <c r="A587" s="189"/>
      <c r="B587" s="188"/>
      <c r="C587" s="188"/>
      <c r="D587" s="191"/>
    </row>
    <row r="588" spans="1:4" ht="12.75" hidden="1">
      <c r="A588" s="189"/>
      <c r="B588" s="188"/>
      <c r="C588" s="188"/>
      <c r="D588" s="191"/>
    </row>
    <row r="589" spans="1:4" ht="25.5" hidden="1">
      <c r="A589" s="200" t="s">
        <v>469</v>
      </c>
      <c r="B589" s="201"/>
      <c r="C589" s="188"/>
      <c r="D589" s="191"/>
    </row>
    <row r="590" spans="1:4" ht="12.75" hidden="1">
      <c r="A590" s="202" t="s">
        <v>468</v>
      </c>
      <c r="B590" s="201">
        <v>28000000</v>
      </c>
      <c r="C590" s="188"/>
      <c r="D590" s="191"/>
    </row>
    <row r="591" spans="1:4" ht="12.75" hidden="1">
      <c r="A591" s="189"/>
      <c r="B591" s="188"/>
      <c r="C591" s="188"/>
      <c r="D591" s="191"/>
    </row>
    <row r="592" spans="1:4" ht="12.75" hidden="1">
      <c r="A592" s="189"/>
      <c r="B592" s="188"/>
      <c r="C592" s="188"/>
      <c r="D592" s="191"/>
    </row>
    <row r="593" spans="1:4" ht="12.75" hidden="1">
      <c r="A593" s="200" t="s">
        <v>357</v>
      </c>
      <c r="B593" s="201"/>
      <c r="C593" s="188"/>
      <c r="D593" s="191"/>
    </row>
    <row r="594" spans="1:4" ht="25.5" hidden="1">
      <c r="A594" s="210" t="s">
        <v>358</v>
      </c>
      <c r="B594" s="201">
        <v>28000000</v>
      </c>
      <c r="C594" s="188"/>
      <c r="D594" s="191"/>
    </row>
    <row r="595" spans="1:4" ht="12.75" hidden="1">
      <c r="A595" s="202" t="s">
        <v>359</v>
      </c>
      <c r="B595" s="201">
        <v>19000000</v>
      </c>
      <c r="C595" s="188"/>
      <c r="D595" s="191"/>
    </row>
    <row r="596" spans="1:4" ht="12.75" hidden="1">
      <c r="A596" s="202" t="s">
        <v>467</v>
      </c>
      <c r="B596" s="201">
        <v>0</v>
      </c>
      <c r="C596" s="188"/>
      <c r="D596" s="191"/>
    </row>
    <row r="597" spans="1:4" ht="38.25" hidden="1">
      <c r="A597" s="202" t="s">
        <v>466</v>
      </c>
      <c r="B597" s="201">
        <v>144000000</v>
      </c>
      <c r="C597" s="188"/>
      <c r="D597" s="191">
        <v>50000000</v>
      </c>
    </row>
    <row r="598" spans="1:4" ht="25.5" hidden="1">
      <c r="A598" s="202" t="s">
        <v>360</v>
      </c>
      <c r="B598" s="201">
        <v>38000000</v>
      </c>
      <c r="C598" s="188"/>
      <c r="D598" s="191"/>
    </row>
    <row r="599" spans="1:4" ht="12.75" hidden="1">
      <c r="A599" s="189"/>
      <c r="B599" s="188"/>
      <c r="C599" s="188"/>
      <c r="D599" s="191"/>
    </row>
    <row r="600" spans="1:4" ht="12.75" hidden="1">
      <c r="A600" s="189"/>
      <c r="B600" s="188"/>
      <c r="C600" s="188"/>
      <c r="D600" s="191"/>
    </row>
    <row r="601" spans="1:4" ht="12.75" hidden="1">
      <c r="A601" s="200" t="s">
        <v>465</v>
      </c>
      <c r="B601" s="201"/>
      <c r="C601" s="188"/>
      <c r="D601" s="191"/>
    </row>
    <row r="602" spans="1:4" ht="38.25" hidden="1">
      <c r="A602" s="202" t="s">
        <v>350</v>
      </c>
      <c r="B602" s="201">
        <v>14000000</v>
      </c>
      <c r="C602" s="188"/>
      <c r="D602" s="191"/>
    </row>
    <row r="603" spans="1:4" ht="25.5" hidden="1">
      <c r="A603" s="210" t="s">
        <v>351</v>
      </c>
      <c r="B603" s="201">
        <v>19000000</v>
      </c>
      <c r="C603" s="188"/>
      <c r="D603" s="191"/>
    </row>
    <row r="604" spans="1:4" ht="12.75" hidden="1">
      <c r="A604" s="202" t="s">
        <v>352</v>
      </c>
      <c r="B604" s="201">
        <v>6000000</v>
      </c>
      <c r="C604" s="188"/>
      <c r="D604" s="191"/>
    </row>
    <row r="605" spans="1:4" ht="25.5" hidden="1">
      <c r="A605" s="202" t="s">
        <v>353</v>
      </c>
      <c r="B605" s="201">
        <v>48000000</v>
      </c>
      <c r="C605" s="188"/>
      <c r="D605" s="191">
        <v>30000000</v>
      </c>
    </row>
    <row r="606" spans="1:4" ht="12.75" hidden="1">
      <c r="A606" s="189"/>
      <c r="B606" s="188"/>
      <c r="C606" s="188"/>
      <c r="D606" s="191"/>
    </row>
    <row r="607" spans="1:4" ht="12.75" hidden="1">
      <c r="A607" s="189"/>
      <c r="B607" s="188"/>
      <c r="C607" s="188"/>
      <c r="D607" s="191"/>
    </row>
    <row r="608" spans="1:4" ht="38.25" hidden="1">
      <c r="A608" s="200" t="s">
        <v>464</v>
      </c>
      <c r="B608" s="201"/>
      <c r="C608" s="188"/>
      <c r="D608" s="191"/>
    </row>
    <row r="609" spans="1:4" ht="25.5" hidden="1">
      <c r="A609" s="202" t="s">
        <v>463</v>
      </c>
      <c r="B609" s="201">
        <v>4800000</v>
      </c>
      <c r="C609" s="188"/>
      <c r="D609" s="194">
        <v>18000000</v>
      </c>
    </row>
    <row r="610" spans="1:4" ht="12.75" hidden="1">
      <c r="A610" s="202" t="s">
        <v>462</v>
      </c>
      <c r="B610" s="201">
        <v>0</v>
      </c>
      <c r="C610" s="188"/>
      <c r="D610" s="191"/>
    </row>
    <row r="611" spans="1:4" ht="25.5" hidden="1">
      <c r="A611" s="202" t="s">
        <v>461</v>
      </c>
      <c r="B611" s="201">
        <v>2300000</v>
      </c>
      <c r="C611" s="188"/>
      <c r="D611" s="191"/>
    </row>
    <row r="612" spans="1:4" ht="12.75" hidden="1">
      <c r="A612" s="189"/>
      <c r="B612" s="188"/>
      <c r="C612" s="188"/>
      <c r="D612" s="191"/>
    </row>
    <row r="613" spans="1:4" ht="12.75" hidden="1">
      <c r="A613" s="189"/>
      <c r="B613" s="188"/>
      <c r="C613" s="188"/>
      <c r="D613" s="191"/>
    </row>
    <row r="614" spans="1:4" ht="25.5" hidden="1">
      <c r="A614" s="200" t="s">
        <v>460</v>
      </c>
      <c r="B614" s="201"/>
      <c r="C614" s="188"/>
      <c r="D614" s="191"/>
    </row>
    <row r="615" spans="1:4" ht="12.75" hidden="1">
      <c r="A615" s="202" t="s">
        <v>459</v>
      </c>
      <c r="B615" s="201">
        <v>19000000</v>
      </c>
      <c r="C615" s="188"/>
      <c r="D615" s="191"/>
    </row>
    <row r="616" spans="1:4" ht="12.75" hidden="1">
      <c r="A616" s="202" t="s">
        <v>458</v>
      </c>
      <c r="B616" s="201">
        <v>4000000</v>
      </c>
      <c r="C616" s="188"/>
      <c r="D616" s="191"/>
    </row>
    <row r="617" spans="1:4" ht="12.75" hidden="1">
      <c r="A617" s="189"/>
      <c r="B617" s="188"/>
      <c r="C617" s="188"/>
      <c r="D617" s="191"/>
    </row>
    <row r="618" spans="1:4" ht="25.5" hidden="1">
      <c r="A618" s="193" t="s">
        <v>457</v>
      </c>
      <c r="B618" s="188"/>
      <c r="C618" s="188"/>
      <c r="D618" s="191"/>
    </row>
    <row r="619" spans="1:4" ht="25.5" hidden="1">
      <c r="A619" s="189" t="s">
        <v>457</v>
      </c>
      <c r="B619" s="188">
        <v>0</v>
      </c>
      <c r="C619" s="188"/>
      <c r="D619" s="191"/>
    </row>
    <row r="620" spans="1:4" ht="12.75" hidden="1">
      <c r="A620" s="189"/>
      <c r="B620" s="188"/>
      <c r="C620" s="188"/>
      <c r="D620" s="191"/>
    </row>
    <row r="621" spans="1:4" ht="12.75" hidden="1">
      <c r="A621" s="189"/>
      <c r="B621" s="188"/>
      <c r="C621" s="188"/>
      <c r="D621" s="191"/>
    </row>
    <row r="622" spans="1:4" ht="12.75" hidden="1">
      <c r="A622" s="200" t="s">
        <v>456</v>
      </c>
      <c r="B622" s="201"/>
      <c r="C622" s="188"/>
      <c r="D622" s="191"/>
    </row>
    <row r="623" spans="1:4" ht="25.5" hidden="1">
      <c r="A623" s="210" t="s">
        <v>455</v>
      </c>
      <c r="B623" s="201">
        <v>0</v>
      </c>
      <c r="C623" s="188"/>
      <c r="D623" s="191"/>
    </row>
    <row r="624" spans="1:4" ht="12.75" hidden="1">
      <c r="A624" s="202" t="s">
        <v>454</v>
      </c>
      <c r="B624" s="201">
        <v>19000000</v>
      </c>
      <c r="C624" s="188"/>
      <c r="D624" s="191"/>
    </row>
    <row r="625" spans="1:4" ht="12.75" hidden="1">
      <c r="A625" s="202" t="s">
        <v>453</v>
      </c>
      <c r="B625" s="201">
        <v>30000000</v>
      </c>
      <c r="C625" s="188"/>
      <c r="D625" s="191"/>
    </row>
    <row r="626" spans="1:4" ht="12.75" hidden="1">
      <c r="A626" s="202" t="s">
        <v>452</v>
      </c>
      <c r="B626" s="201">
        <v>0</v>
      </c>
      <c r="C626" s="188"/>
      <c r="D626" s="191"/>
    </row>
    <row r="627" spans="1:4" ht="12.75" hidden="1">
      <c r="A627" s="189"/>
      <c r="B627" s="188"/>
      <c r="C627" s="188"/>
      <c r="D627" s="191"/>
    </row>
    <row r="628" spans="1:4" ht="12.75" hidden="1">
      <c r="A628" s="200" t="s">
        <v>451</v>
      </c>
      <c r="B628" s="201"/>
      <c r="C628" s="188"/>
      <c r="D628" s="191"/>
    </row>
    <row r="629" spans="1:4" ht="12.75" hidden="1">
      <c r="A629" s="202" t="s">
        <v>450</v>
      </c>
      <c r="B629" s="201">
        <v>76000000</v>
      </c>
      <c r="C629" s="188"/>
      <c r="D629" s="191">
        <v>40000000</v>
      </c>
    </row>
    <row r="630" spans="1:4" ht="25.5" hidden="1">
      <c r="A630" s="202" t="s">
        <v>449</v>
      </c>
      <c r="B630" s="201">
        <v>0</v>
      </c>
      <c r="C630" s="188"/>
      <c r="D630" s="191"/>
    </row>
    <row r="631" spans="1:4" ht="12.75" hidden="1">
      <c r="A631" s="189"/>
      <c r="B631" s="188"/>
      <c r="C631" s="188"/>
      <c r="D631" s="191"/>
    </row>
    <row r="632" spans="1:4" ht="12.75" hidden="1">
      <c r="A632" s="189"/>
      <c r="B632" s="188"/>
      <c r="C632" s="188"/>
      <c r="D632" s="191"/>
    </row>
    <row r="633" spans="1:4" ht="12.75" hidden="1">
      <c r="A633" s="200" t="s">
        <v>448</v>
      </c>
      <c r="B633" s="201"/>
      <c r="C633" s="188"/>
      <c r="D633" s="191"/>
    </row>
    <row r="634" spans="1:4" ht="12.75" hidden="1">
      <c r="A634" s="202" t="s">
        <v>447</v>
      </c>
      <c r="B634" s="201">
        <v>9000000</v>
      </c>
      <c r="C634" s="188"/>
      <c r="D634" s="191"/>
    </row>
    <row r="635" spans="1:4" ht="12.75" hidden="1">
      <c r="A635" s="202" t="s">
        <v>446</v>
      </c>
      <c r="B635" s="201">
        <v>9000000</v>
      </c>
      <c r="C635" s="188"/>
      <c r="D635" s="191"/>
    </row>
    <row r="636" spans="1:4" ht="12.75" hidden="1">
      <c r="A636" s="189"/>
      <c r="B636" s="188"/>
      <c r="C636" s="188"/>
      <c r="D636" s="191"/>
    </row>
    <row r="637" spans="1:4" ht="12.75" hidden="1">
      <c r="A637" s="189"/>
      <c r="B637" s="188"/>
      <c r="C637" s="188"/>
      <c r="D637" s="191"/>
    </row>
    <row r="638" spans="1:4" ht="25.5" hidden="1">
      <c r="A638" s="200" t="s">
        <v>445</v>
      </c>
      <c r="B638" s="201"/>
      <c r="C638" s="188"/>
      <c r="D638" s="191"/>
    </row>
    <row r="639" spans="1:4" ht="12.75" hidden="1">
      <c r="A639" s="202" t="s">
        <v>444</v>
      </c>
      <c r="B639" s="201">
        <v>19000000</v>
      </c>
      <c r="C639" s="188"/>
      <c r="D639" s="191"/>
    </row>
    <row r="640" spans="1:4" ht="12.75" hidden="1">
      <c r="A640" s="202" t="s">
        <v>443</v>
      </c>
      <c r="B640" s="201">
        <v>48000000</v>
      </c>
      <c r="C640" s="188"/>
      <c r="D640" s="191"/>
    </row>
    <row r="641" spans="1:4" ht="12.75" hidden="1">
      <c r="A641" s="202" t="s">
        <v>442</v>
      </c>
      <c r="B641" s="201">
        <v>0</v>
      </c>
      <c r="C641" s="188"/>
      <c r="D641" s="191"/>
    </row>
    <row r="642" spans="1:4" ht="12.75" hidden="1">
      <c r="A642" s="202" t="s">
        <v>441</v>
      </c>
      <c r="B642" s="201">
        <v>0</v>
      </c>
      <c r="C642" s="188"/>
      <c r="D642" s="191"/>
    </row>
    <row r="643" spans="1:4" ht="12.75">
      <c r="A643" s="189"/>
      <c r="B643" s="188"/>
      <c r="C643" s="188"/>
      <c r="D643" s="191"/>
    </row>
    <row r="644" spans="1:4" ht="12.75">
      <c r="A644" s="189"/>
      <c r="B644" s="188"/>
      <c r="C644" s="188"/>
      <c r="D644" s="191"/>
    </row>
    <row r="645" spans="1:4" ht="25.5" hidden="1">
      <c r="A645" s="193" t="s">
        <v>440</v>
      </c>
      <c r="B645" s="188"/>
      <c r="C645" s="188"/>
      <c r="D645" s="191"/>
    </row>
    <row r="646" spans="1:4" ht="25.5" hidden="1">
      <c r="A646" s="189" t="s">
        <v>439</v>
      </c>
      <c r="B646" s="188">
        <v>1000000</v>
      </c>
      <c r="C646" s="188"/>
      <c r="D646" s="191"/>
    </row>
    <row r="647" spans="1:4" ht="12.75" hidden="1">
      <c r="A647" s="189" t="s">
        <v>438</v>
      </c>
      <c r="B647" s="188">
        <v>11000000</v>
      </c>
      <c r="C647" s="188"/>
      <c r="D647" s="191"/>
    </row>
    <row r="648" spans="1:4" ht="12.75">
      <c r="A648" s="189"/>
      <c r="B648" s="188"/>
      <c r="C648" s="188"/>
      <c r="D648" s="191"/>
    </row>
    <row r="649" spans="1:4" ht="12.75">
      <c r="A649" s="189"/>
      <c r="B649" s="188"/>
      <c r="C649" s="188"/>
      <c r="D649" s="191"/>
    </row>
    <row r="650" spans="1:4" ht="12.75">
      <c r="A650" s="189"/>
      <c r="B650" s="188"/>
      <c r="C650" s="188"/>
      <c r="D650" s="191"/>
    </row>
    <row r="651" spans="1:4" ht="12.75" hidden="1">
      <c r="A651" s="200" t="s">
        <v>437</v>
      </c>
      <c r="B651" s="201"/>
      <c r="C651" s="188"/>
      <c r="D651" s="191"/>
    </row>
    <row r="652" spans="1:4" ht="12.75" hidden="1">
      <c r="A652" s="202" t="s">
        <v>436</v>
      </c>
      <c r="B652" s="201">
        <v>1000000</v>
      </c>
      <c r="C652" s="188"/>
      <c r="D652" s="191"/>
    </row>
    <row r="653" spans="1:4" ht="25.5" hidden="1">
      <c r="A653" s="202" t="s">
        <v>435</v>
      </c>
      <c r="B653" s="201">
        <v>1000000</v>
      </c>
      <c r="C653" s="188"/>
      <c r="D653" s="191"/>
    </row>
    <row r="654" spans="1:4" ht="12.75" hidden="1">
      <c r="A654" s="189"/>
      <c r="B654" s="188"/>
      <c r="C654" s="188"/>
      <c r="D654" s="191"/>
    </row>
    <row r="655" spans="1:4" ht="12.75" hidden="1">
      <c r="A655" s="189"/>
      <c r="B655" s="188"/>
      <c r="C655" s="188"/>
      <c r="D655" s="191"/>
    </row>
    <row r="656" spans="1:4" ht="25.5" hidden="1">
      <c r="A656" s="200" t="s">
        <v>434</v>
      </c>
      <c r="B656" s="201"/>
      <c r="C656" s="188"/>
      <c r="D656" s="191"/>
    </row>
    <row r="657" spans="1:4" ht="12.75" hidden="1">
      <c r="A657" s="202" t="s">
        <v>433</v>
      </c>
      <c r="B657" s="201">
        <v>0</v>
      </c>
      <c r="C657" s="188"/>
      <c r="D657" s="191"/>
    </row>
    <row r="658" spans="1:4" ht="25.5" hidden="1">
      <c r="A658" s="210" t="s">
        <v>432</v>
      </c>
      <c r="B658" s="201">
        <v>38000000</v>
      </c>
      <c r="C658" s="188"/>
      <c r="D658" s="191">
        <v>10000000</v>
      </c>
    </row>
    <row r="659" spans="1:4" ht="12.75" hidden="1">
      <c r="A659" s="202" t="s">
        <v>431</v>
      </c>
      <c r="B659" s="201">
        <v>0</v>
      </c>
      <c r="C659" s="188"/>
      <c r="D659" s="191"/>
    </row>
    <row r="660" spans="1:4" ht="12.75" hidden="1">
      <c r="A660" s="202" t="s">
        <v>430</v>
      </c>
      <c r="B660" s="201">
        <v>4000000</v>
      </c>
      <c r="C660" s="188"/>
      <c r="D660" s="191"/>
    </row>
    <row r="661" spans="1:4" ht="25.5" hidden="1">
      <c r="A661" s="202" t="s">
        <v>429</v>
      </c>
      <c r="B661" s="201">
        <v>28000000</v>
      </c>
      <c r="C661" s="188"/>
      <c r="D661" s="191"/>
    </row>
    <row r="662" spans="1:4" ht="25.5" hidden="1">
      <c r="A662" s="202" t="s">
        <v>428</v>
      </c>
      <c r="B662" s="201">
        <v>28000000</v>
      </c>
      <c r="C662" s="188"/>
      <c r="D662" s="191"/>
    </row>
    <row r="663" spans="1:4" ht="12.75">
      <c r="A663" s="202"/>
      <c r="B663" s="208"/>
      <c r="C663" s="188"/>
      <c r="D663" s="191"/>
    </row>
    <row r="664" spans="1:4" ht="12.75">
      <c r="A664" s="202"/>
      <c r="B664" s="208"/>
      <c r="C664" s="188"/>
      <c r="D664" s="191"/>
    </row>
    <row r="665" spans="1:4" ht="12.75">
      <c r="A665" s="189"/>
      <c r="B665" s="188"/>
      <c r="C665" s="188"/>
      <c r="D665" s="191"/>
    </row>
    <row r="666" spans="1:4" ht="12.75">
      <c r="A666" s="189"/>
      <c r="B666" s="188"/>
      <c r="C666" s="188"/>
      <c r="D666" s="191"/>
    </row>
    <row r="667" spans="1:4" ht="12.75">
      <c r="A667" s="189"/>
      <c r="B667" s="188"/>
      <c r="C667" s="188"/>
      <c r="D667" s="191"/>
    </row>
    <row r="668" spans="1:4" ht="12.75">
      <c r="A668" s="189"/>
      <c r="B668" s="190">
        <v>10030000000</v>
      </c>
      <c r="C668" s="190"/>
      <c r="D668" s="191"/>
    </row>
    <row r="669" spans="1:4" ht="12.75">
      <c r="A669" s="189"/>
      <c r="B669" s="188">
        <v>7900000000</v>
      </c>
      <c r="C669" s="188"/>
      <c r="D669" s="191"/>
    </row>
    <row r="670" spans="1:4" ht="12.75">
      <c r="A670" s="189"/>
      <c r="B670" s="188">
        <v>0</v>
      </c>
      <c r="C670" s="188"/>
      <c r="D670" s="191"/>
    </row>
    <row r="671" spans="1:4" ht="12.75">
      <c r="A671" s="189"/>
      <c r="B671" s="188"/>
      <c r="C671" s="188"/>
      <c r="D671" s="188"/>
    </row>
    <row r="672" spans="1:4" ht="12.75">
      <c r="A672" s="189"/>
      <c r="B672" s="188"/>
      <c r="C672" s="188"/>
      <c r="D672" s="188"/>
    </row>
    <row r="673" spans="1:4" ht="12.75">
      <c r="A673" s="189"/>
      <c r="B673" s="188"/>
      <c r="C673" s="188"/>
      <c r="D673" s="190">
        <v>2900000000</v>
      </c>
    </row>
    <row r="674" spans="1:4" ht="12.75">
      <c r="A674" s="189"/>
      <c r="B674" s="188"/>
      <c r="C674" s="188"/>
      <c r="D674" s="188"/>
    </row>
    <row r="675" spans="1:4" ht="12.75">
      <c r="A675" s="189"/>
      <c r="B675" s="188"/>
      <c r="C675" s="188"/>
      <c r="D675" s="190">
        <v>10800000000</v>
      </c>
    </row>
    <row r="676" spans="1:4" ht="12.75">
      <c r="A676" s="189"/>
      <c r="B676" s="188"/>
      <c r="C676" s="188"/>
      <c r="D676" s="188"/>
    </row>
    <row r="677" spans="1:4" ht="12.75">
      <c r="A677" s="189"/>
      <c r="B677" s="188"/>
      <c r="C677" s="188"/>
      <c r="D677" s="188">
        <f>+D675-D673</f>
        <v>7900000000</v>
      </c>
    </row>
    <row r="678" spans="1:4" ht="12.75">
      <c r="A678" s="189"/>
      <c r="B678" s="188"/>
      <c r="C678" s="188"/>
      <c r="D678" s="188"/>
    </row>
    <row r="1678" ht="12.75"/>
  </sheetData>
  <sheetProtection/>
  <mergeCells count="1">
    <mergeCell ref="B1:H1"/>
  </mergeCells>
  <printOptions/>
  <pageMargins left="1.5748031496062993" right="0.7086614173228347" top="1.1811023622047245" bottom="0.9448818897637796" header="0.31496062992125984" footer="0.31496062992125984"/>
  <pageSetup horizontalDpi="600" verticalDpi="600" orientation="landscape" paperSize="5" scale="90" r:id="rId3"/>
  <headerFooter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MARY_LUZ</dc:creator>
  <cp:keywords/>
  <dc:description/>
  <cp:lastModifiedBy>Mayra Leguizamon</cp:lastModifiedBy>
  <cp:lastPrinted>2009-11-19T17:39:39Z</cp:lastPrinted>
  <dcterms:created xsi:type="dcterms:W3CDTF">2008-07-09T20:44:04Z</dcterms:created>
  <dcterms:modified xsi:type="dcterms:W3CDTF">2013-09-09T17:58:24Z</dcterms:modified>
  <cp:category/>
  <cp:version/>
  <cp:contentType/>
  <cp:contentStatus/>
</cp:coreProperties>
</file>