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311" windowWidth="8760" windowHeight="11640" firstSheet="1" activeTab="3"/>
  </bookViews>
  <sheets>
    <sheet name="PLAN PLURIANUAL" sheetId="1" r:id="rId1"/>
    <sheet name="Hoja2" sheetId="2" r:id="rId2"/>
    <sheet name="Hoja3" sheetId="3" r:id="rId3"/>
    <sheet name="Hoja1" sheetId="4" r:id="rId4"/>
  </sheets>
  <definedNames>
    <definedName name="_xlnm._FilterDatabase" localSheetId="0" hidden="1">'PLAN PLURIANUAL'!$A$1:$W$291</definedName>
    <definedName name="_xlnm.Print_Area" localSheetId="0">'PLAN PLURIANUAL'!$B$13</definedName>
  </definedNames>
  <calcPr fullCalcOnLoad="1"/>
</workbook>
</file>

<file path=xl/comments1.xml><?xml version="1.0" encoding="utf-8"?>
<comments xmlns="http://schemas.openxmlformats.org/spreadsheetml/2006/main">
  <authors>
    <author>Usuario</author>
  </authors>
  <commentList>
    <comment ref="J30" authorId="0">
      <text>
        <r>
          <rPr>
            <b/>
            <sz val="9"/>
            <rFont val="Tahoma"/>
            <family val="2"/>
          </rPr>
          <t>Usuario:</t>
        </r>
        <r>
          <rPr>
            <sz val="9"/>
            <rFont val="Tahoma"/>
            <family val="2"/>
          </rPr>
          <t xml:space="preserve">
sgp salud publica 13669974
</t>
        </r>
      </text>
    </comment>
    <comment ref="B263" authorId="0">
      <text>
        <r>
          <rPr>
            <b/>
            <sz val="9"/>
            <rFont val="Tahoma"/>
            <family val="2"/>
          </rPr>
          <t>Usuario:</t>
        </r>
        <r>
          <rPr>
            <sz val="9"/>
            <rFont val="Tahoma"/>
            <family val="2"/>
          </rPr>
          <t xml:space="preserve">
el dto esta creado…. Lo que falta ees la implementacion
</t>
        </r>
      </text>
    </comment>
  </commentList>
</comments>
</file>

<file path=xl/comments4.xml><?xml version="1.0" encoding="utf-8"?>
<comments xmlns="http://schemas.openxmlformats.org/spreadsheetml/2006/main">
  <authors>
    <author>Usuario</author>
    <author>Windows</author>
  </authors>
  <commentList>
    <comment ref="E271" authorId="0">
      <text>
        <r>
          <rPr>
            <b/>
            <sz val="9"/>
            <rFont val="Tahoma"/>
            <family val="2"/>
          </rPr>
          <t>Usuario:</t>
        </r>
        <r>
          <rPr>
            <sz val="9"/>
            <rFont val="Tahoma"/>
            <family val="2"/>
          </rPr>
          <t xml:space="preserve">
el dto esta creado…. Lo que falta ees la implementacion
</t>
        </r>
      </text>
    </comment>
    <comment ref="N115" authorId="1">
      <text>
        <r>
          <rPr>
            <b/>
            <sz val="8"/>
            <rFont val="Tahoma"/>
            <family val="2"/>
          </rPr>
          <t>Windows:</t>
        </r>
        <r>
          <rPr>
            <sz val="8"/>
            <rFont val="Tahoma"/>
            <family val="2"/>
          </rPr>
          <t xml:space="preserve">
de aqi se cancela la niña q maneja  el grupo de mayores …
</t>
        </r>
      </text>
    </comment>
    <comment ref="N103" authorId="1">
      <text>
        <r>
          <rPr>
            <b/>
            <sz val="8"/>
            <rFont val="Tahoma"/>
            <family val="2"/>
          </rPr>
          <t>Windows:</t>
        </r>
        <r>
          <rPr>
            <sz val="8"/>
            <rFont val="Tahoma"/>
            <family val="2"/>
          </rPr>
          <t xml:space="preserve">
aqileo
</t>
        </r>
      </text>
    </comment>
  </commentList>
</comments>
</file>

<file path=xl/sharedStrings.xml><?xml version="1.0" encoding="utf-8"?>
<sst xmlns="http://schemas.openxmlformats.org/spreadsheetml/2006/main" count="1427" uniqueCount="774">
  <si>
    <t>PASO 9. MATRIZ PARA EL PLAN PLURIANUAL DE INVERSIONES</t>
  </si>
  <si>
    <t>SECTOR DE COMPETENCIA</t>
  </si>
  <si>
    <t>Meta de Producto [Mp#]</t>
  </si>
  <si>
    <t>Recursos Propios</t>
  </si>
  <si>
    <t>SGP</t>
  </si>
  <si>
    <t>Regalías</t>
  </si>
  <si>
    <t>Otros</t>
  </si>
  <si>
    <t xml:space="preserve">OBJETIVO  ESTRATEGICO 1. </t>
  </si>
  <si>
    <t>PROGRAMA ESTRATEGICO 1</t>
  </si>
  <si>
    <t xml:space="preserve">Subprograma 1.1 </t>
  </si>
  <si>
    <t>Sector 1</t>
  </si>
  <si>
    <t>Sector 2</t>
  </si>
  <si>
    <t>PROGRAMA ESTRATEGICO 2</t>
  </si>
  <si>
    <t>Subprograma 1.2</t>
  </si>
  <si>
    <t>Sector 3</t>
  </si>
  <si>
    <t>Sector 5</t>
  </si>
  <si>
    <t>Sector 7</t>
  </si>
  <si>
    <t>Subprograma 1.3</t>
  </si>
  <si>
    <t>Sector 6</t>
  </si>
  <si>
    <t>Subprograma 1.4</t>
  </si>
  <si>
    <t>PROGRAMA ESTRATEGICO 3</t>
  </si>
  <si>
    <t xml:space="preserve">Subprograma 2.1 </t>
  </si>
  <si>
    <t>Sector 4</t>
  </si>
  <si>
    <t xml:space="preserve">Suministrar alimentación escolar a 190 estudiantes del municipio durante el cuatrienio. </t>
  </si>
  <si>
    <t xml:space="preserve">SALUD </t>
  </si>
  <si>
    <t>Vacunar en un 100% las madres gestantes durante el cuatrienio.</t>
  </si>
  <si>
    <t xml:space="preserve">Aumentar en un punto el Porcentaje de nacidos vivos con cuatro o mas controles Prenatales </t>
  </si>
  <si>
    <t>Realizar citología a xxx  mujeres de 18 a 69 años que nunca se la han realizado</t>
  </si>
  <si>
    <t xml:space="preserve">Vacunar 100 caninos durante el cuatrienio </t>
  </si>
  <si>
    <t>Garantizar el seguimiento al tratamiento al 100% de los casos de exposición rábica.</t>
  </si>
  <si>
    <t>Implementar la estrategia de prevención, mitigación y superación en sustancias psicoactivas durante el cuatrienio</t>
  </si>
  <si>
    <t>Realizar cuatro campañas anuales de prevención para la reducción del consumo del tabaco y cigarrillo en jóvenes</t>
  </si>
  <si>
    <t>Realizar actividades extramurales de atención integral en salud visual, dirigidas a población mayor de 40 años en 30 municipios.</t>
  </si>
  <si>
    <t>Elaborar un plan de mejoramiento que le apunte a la reestructuración de la secretaria de salud y desarrollo de la estructura y cultura organizacional</t>
  </si>
  <si>
    <t>Garantizar el servicio pleno en salud a 800 niños y jóvenes menores de 18 años durante el periodo de gobierno. Procuraduría</t>
  </si>
  <si>
    <t>Mediante el programa de control prenatal  atender mínimo   100  mujeres  gestantes Realizando 4 consultas  en  control  prenatal parto y posparto anualmente.  Procuraduría</t>
  </si>
  <si>
    <t>Realizar 4 talleres de capacitación  a padres de familia para mejorar las habilidades en el acompañamiento de los procesos de crecimiento y desarrollo de los niños anualmente. Procuraduría</t>
  </si>
  <si>
    <t>Para erradicar enfermedades diarreicas  y respiratorias, Realizar 8 talleres de capacitación anualmente  sobre hábitos de alimentación, higiene, disminución de factores  de riesgo  a  padres de familia,  madres comunitarias, docentes y presidentes de juntas de acción comunal del municipio</t>
  </si>
  <si>
    <t>Garantizar atención integral a enfermedades prevalentes de la infancia “con el programa AIEPI”, IAMI a 150 niños menores de 5 años Procuraduría</t>
  </si>
  <si>
    <t>Realizar  4 actividades anualmente  relacionadas con la Implementación  de la Política de salud sexual y reproductiva  mediante capacitaciones y   conferencias a  jóvenes menores de 18 años, Padres de Familia  y población en general conformando un proceso de sensibilización ciudadana. Procuraduría</t>
  </si>
  <si>
    <t>Sensibilizar  mediante ayuda de un profesional  en salud mental a 200 padres de familia  técnicas de  resolución de conflictos familiares anualmente</t>
  </si>
  <si>
    <t>Realizar 2 campañas anualmente  para identificar  y registrar el 100%  de la población de cero años en adelante  mediante el  Registro Civil en el municipio</t>
  </si>
  <si>
    <t>Mediante brigadas de salud asistir a 349 scolares en higiene oral anualmente. Procuraduría</t>
  </si>
  <si>
    <t>Realizar 2 campañas anuales  de desparacitación  de la población en general  para la prevención de enfermedades infecciosas y parasitarias  en la población  de Nivel I y II del sisben.</t>
  </si>
  <si>
    <t>Realizar 4 campañas  anualmente que vinculen al 100% de la población del municipio, para prevenir el VIH-SIDA y ETS. Procuraduría</t>
  </si>
  <si>
    <t>Realizar 4 capacitaciones anualmente de sensibilización ciudadana, sobre motivación personal y autoestima para evitar muertes violentas  a población mayor de 14 años. Procuraduría</t>
  </si>
  <si>
    <t>Capacitar a 100 padres de familia anualmente en temas de educación sexual  sobre abuso y explotación sexual de la niñez.   Procuraduría</t>
  </si>
  <si>
    <t>Capacitar a 100 habitantes anualmente (Docentes, Alumnos y Padres de familia) en políticas convivencia pacífica y buen trato intrafamiliar para conformar redes de buen trato y convertirse en multiplicadores de la política. Procuraduría</t>
  </si>
  <si>
    <t>Realizar   100 consultas médicas  por año  a mujeres   para detectar y prevenir  cáncer de cuello uterino. Procuraduría</t>
  </si>
  <si>
    <t>Realizar  mínimo 20 consultas  por año a los habitantes del municipio que lo requieran  en  salud mental.</t>
  </si>
  <si>
    <t>Realizar 4 campañas anuales   de promoción y prevención de la salud  y riesgos profesionales – ocupacionales al 100% de la población afiliada a ARP</t>
  </si>
  <si>
    <t>Realizar como mínimo  12 visitas anuales de inspección, vigilancia y control de riesgos sanitarios, fitosanitarios, ambientales en los ámbitos laborales,  con el objeto de hacer promoción y prevención  de riesgos en la población trabajadora.</t>
  </si>
  <si>
    <t>Elaborar un plan de prevención, mitigación y superación de emergencias y desastres en el 100%  y ponerlo en funcionamiento ante cualquier eventualidad durante el periodo de gobierno.</t>
  </si>
  <si>
    <t xml:space="preserve">Conformar el Comité de Prevención y Atención de Desastres en el 100% </t>
  </si>
  <si>
    <t>Dotar en un 100% la casa de la cultura de equipos, instrumentos musicales, trajes típicos, durante el cuatrienio.</t>
  </si>
  <si>
    <t xml:space="preserve">EDUCACION </t>
  </si>
  <si>
    <t xml:space="preserve">SECTOR EQUIPAMIENTO MUNICIPAL </t>
  </si>
  <si>
    <t xml:space="preserve">SECTOR SERVICIOS PUBLICOS </t>
  </si>
  <si>
    <t xml:space="preserve">SECTOR MEDIO AMBIENTE </t>
  </si>
  <si>
    <t xml:space="preserve">VIAS E INFRAESTRUCTURA </t>
  </si>
  <si>
    <t>Mantener en 33 el número de estudiantes en el sistema educativo mediante la modalidad SAT.</t>
  </si>
  <si>
    <t xml:space="preserve">SECTOR POBLACION  VULNERABLE </t>
  </si>
  <si>
    <t xml:space="preserve">PROGRAMA AGENDA PUBLICA SOCIAL </t>
  </si>
  <si>
    <t>Realizar un evento regional  anual sobre Política Pública de Mujer.</t>
  </si>
  <si>
    <t>Desarrollar y mantener un programa anual sobre la erradicación de todas las formas de discriminación y violencia contra las mujeres.</t>
  </si>
  <si>
    <t xml:space="preserve">CULTURA </t>
  </si>
  <si>
    <t xml:space="preserve">SECTOR DEPORTE Y RECREACIÓN </t>
  </si>
  <si>
    <t>Gestionar la adquisición de 2 vehiculos de maquinaria pesada en el cuatrienio .</t>
  </si>
  <si>
    <t xml:space="preserve">SECTOR VIVIENDA Y DESARROLLO URBANO </t>
  </si>
  <si>
    <t xml:space="preserve">SECTOR AGROPECUARIO </t>
  </si>
  <si>
    <t xml:space="preserve">SECTOR EMPLEO Y ECONOMIA MUNICIPAL </t>
  </si>
  <si>
    <t xml:space="preserve">SECTOR AGUA POTABLE Y SANEAMIENTO BASICO </t>
  </si>
  <si>
    <t>Realizar 8 procesos educativos en atención y prevención de desastres para los habitantes del municipio, durante el cuatrienio.</t>
  </si>
  <si>
    <t xml:space="preserve">SECTOR FORTALECIMIENTO INSTITUCIONAL </t>
  </si>
  <si>
    <t xml:space="preserve">SECTOR CENTROS DE RECLUSIÓN </t>
  </si>
  <si>
    <t>Pagar los servicios públicos a 7 establecimientos educativos durante el periodo de gobierno.</t>
  </si>
  <si>
    <t xml:space="preserve">Apoyar  4 iniciativas de tecnificación productiva lideradas por mujeres rurales, en el cuatrienio. </t>
  </si>
  <si>
    <t xml:space="preserve">Realizar la reposición de 500  metros de redes de  acueducto urbano, durante el periodo de gobierno. </t>
  </si>
  <si>
    <t xml:space="preserve">Realizar la reposición de 1.000 metros de manguera a tubería  en acueductos rurales, durante el periodo de gobierno </t>
  </si>
  <si>
    <t>Realizar trimestralmente una reunión del  CLOPAD y demás entes gubernamentales con el fin de atender la gestión del riesgo</t>
  </si>
  <si>
    <t>Elaborar y ejecutar el plan integral de seguridad y convivencia ciudadana en coordinación con las entidades pertinentes, durante el periodo de gobierno.</t>
  </si>
  <si>
    <t>Asegurar la prestación de la asesoría jurídica en la legalidad y oportunidad de las actuaciones administrativas del municipio en un 100%, en el periodo de gobierno.</t>
  </si>
  <si>
    <t>Actualizar al 100% la estratificacion rural y urbana del municipio, durante el periodo de gobierno.</t>
  </si>
  <si>
    <t>Incrementar la matrícula en 10 estudiantes en educación básica secundaria  en el cuatrienio.</t>
  </si>
  <si>
    <t>Incrementar la matrícula en 10  estudiantes en básica primaria, en el cuatrienio.</t>
  </si>
  <si>
    <t>Incrementar la matrícula de educación inicial en 10 cupos escolares, en el cuatrienio.</t>
  </si>
  <si>
    <t>Incrementar el 16 en número de estudiantes beneficiados con transporte escolar, en el cuatrienio.</t>
  </si>
  <si>
    <t>Dotar 5 restaurantes rurales durante el cuatrienio.</t>
  </si>
  <si>
    <t xml:space="preserve">Dotar  7 instituciones educativas con material didáctico para el grado preescolar durante el cuatrienio. </t>
  </si>
  <si>
    <t>Dotar la sede principal con material inmobiliario (pupitres y sillas).</t>
  </si>
  <si>
    <t>Dotar  7 instituciones educativas con material educativo necesario para la enseñanza durante el periodo de gobierno.</t>
  </si>
  <si>
    <t xml:space="preserve">Realizar mantenimiento y adecuación  a 7 instituciones educativas en el cuatrienio. </t>
  </si>
  <si>
    <t xml:space="preserve">Realizar al 100% mantenimiento preventivo y correctivo al bus escolar del municipio. </t>
  </si>
  <si>
    <t>Gestionar la dotación de 60 equipos nuevos  de cómputo, durante el periodo de gobierno.</t>
  </si>
  <si>
    <t>Gestionar la dotación de 7 sedes educativas con fotocopiadora impresora, videobeam, durante el periodo de gobierno.</t>
  </si>
  <si>
    <t>Beneficiar a 200 niños, adolescentes y  jóvenes de los grados tercero primaria a once con programas complementarios que refuercen sus conocimientos y les brinden técnicas para exámenes pruebas del SABER.</t>
  </si>
  <si>
    <t>Cumplir los requerimientos de la Política Nacional de Bilingüismo para lograr que en el cuatrienio el 20% de los bachilleres del municipio hablen el inglés.</t>
  </si>
  <si>
    <t>Mantener en un 100% actualizado la base del régimen subsidiado.</t>
  </si>
  <si>
    <t>Incrementar la matrícula en 10 estudiantes de educación media en el cuatrienio.</t>
  </si>
  <si>
    <t>Mantener a 620 personas del municipio en el régimen subsidiado durante el cuatrienio.</t>
  </si>
  <si>
    <t xml:space="preserve">Vacunar al 100% los niños  de un año con el biólogico triple viral. </t>
  </si>
  <si>
    <t>Vacunar al 100% los niños de 1 a 5 años con todos los biológicos.</t>
  </si>
  <si>
    <t>Desarrollar la estrategia Santander Te Quiero para la atención en salud a la población infantil, joven y adulta de los niveles 1,2 y 3 del SISBEN, en concordancia con el gobierno departamental.</t>
  </si>
  <si>
    <t xml:space="preserve">Atender al 100% las mujeres  gestantes, realizando 4 consultas  en  control  prenatal parto y posparto anualmente.  </t>
  </si>
  <si>
    <t>Realizar 8 talleres de capacitación en el cuatrienio sobre hábitos de alimentación, higiene, disminución de factores de riesgo a padres de familia, madres comunitarias, docentes y presidentes de juntas de acción comunal del municipio, para erradicar enfermedades diarréicas y respiratorias</t>
  </si>
  <si>
    <t xml:space="preserve">Incrementar en 15 niños la atención integral a enfermedades prevalentes de la infancia “con el programa AIEPI”, IIAMI a niños menores de 5 años. </t>
  </si>
  <si>
    <t>Realizar  4 actividades en el cuatrienio  relacionadas con la Implementación  de la Política de Salud Sexual y Reproductiva,  mediante capacitaciones y   conferencias a  jóvenes menores de 18 años, padres de familia  y población en general.</t>
  </si>
  <si>
    <t>Capacitar a 100 padres de familia en  técnicas de solución de conflictos familiares en el cuatrienio.</t>
  </si>
  <si>
    <t>Realizar 4 campañas en el periodo de gobierno, para identificar  y dar registro civil al 100% de la población de cero años en adelante.</t>
  </si>
  <si>
    <t>Asistir a 349 escolares en higiene oral, mediante brigadas de salud en el cuatrienio.</t>
  </si>
  <si>
    <t>Realizar 8 campañas durante el periodo de goberno que vinculen al 100% de la población del municipio, para prevenir el VIH-SIDA y ETS.</t>
  </si>
  <si>
    <t xml:space="preserve">Realizar 4 capacitaciones durante el cuatrienio, sobre motivación personal y autoestima para evitar riñas y muertes violentas  a población mayor de 14 años. </t>
  </si>
  <si>
    <t>Realizar 4 campañas de promoción y prevención de la salud  y riesgos profesionales – ocupacionales al 100% de la población afiliada a ARP, durante el periodo de gobierno.</t>
  </si>
  <si>
    <t>Vacunar a 300 caninos y felinos durante el cuatrienio.</t>
  </si>
  <si>
    <t>Elaborar un plan de prevención, mitigación y superación de emergencias y desastres  y ponerlo en funcionamiento ante cualquier eventualidad durante el periodo de gobierno.</t>
  </si>
  <si>
    <t>Implementar una estrategia de prevención, mitigación y superación de sustancias psicoactivas, durante el cuatrienio.</t>
  </si>
  <si>
    <t>Realizar 4 campañas de prevención para la reducción del consumo del tabaco y cigarrillo en jóvenes, durante el periodo de gobierno.</t>
  </si>
  <si>
    <t>Beneficiar a 80 personas del municipio en actividades extramurales de atención integral en salud visual, dirigidas a personas mayores de 40 años, duarente el cuatrienio.</t>
  </si>
  <si>
    <t>Desarrollar el Plan de Salud Mental, en el municipio durante el cuatrienio.</t>
  </si>
  <si>
    <t>Desarrollar y aplicar durante los 4 años de gobierno la estrategia “niños y adolescentes lideres”, en las áreas artística, cultural, académica, recreativa y deportiva.</t>
  </si>
  <si>
    <t>Realizar una campaña anual de difusión de la ruta de prevención para proteger integralmente a los niños y adolescentes en riesgo de reclutamiento y utilización.</t>
  </si>
  <si>
    <t>Realizar un consejo anual comunal dirigido a niños y adolescentes, para difundir y promocionar sus derechos.</t>
  </si>
  <si>
    <t>Realizar 4 sesiones del Consejo Municipal de Política Social y sus mesas temáticas, anualmente.</t>
  </si>
  <si>
    <t>Desarrollar un evento anual de seguimiento y evaluación del impacto de las políticas públicas sociales en el municipio.</t>
  </si>
  <si>
    <t xml:space="preserve">PROGRAMA TODOS CON UNA FAMILIA </t>
  </si>
  <si>
    <t>PROGRAMA NIÑOS Y ADOLESCENTES FELICES CON IGUALDAD DE OPORTUNIDADES</t>
  </si>
  <si>
    <t>PROGRAMA SALUD Y BIENESTAR PARA LOS VETANOS</t>
  </si>
  <si>
    <t xml:space="preserve">PROGRAMA APRENDAMOS TODOS Y TODAS </t>
  </si>
  <si>
    <t>PROGRAMA EDUCACIÓN MODERNA</t>
  </si>
  <si>
    <t xml:space="preserve">PROGRAMA TODOS VIVOS Y SALUDABLES </t>
  </si>
  <si>
    <t>Desarrollar una experiencia piloto de intervención psicosocial a 50 familias víctimas de violencia intrafamiliar, durante el periodo de gobierno.</t>
  </si>
  <si>
    <t>Realizar 4 encuentros generacionales, uno año que promueva el equilibrio entre la vida laboral y familiar.</t>
  </si>
  <si>
    <t>Realizar anualmente una campaña destinada a la prevención de la violencia intrafamiliar (contra niños, adolescentes, entre la pareja y adultos mayores).</t>
  </si>
  <si>
    <t xml:space="preserve">Vincular a 20 familias en el cuatrienio en un programa de formación cultural para el desarrollo integral de los niños  de 0 a 6 años. </t>
  </si>
  <si>
    <t>Realizar 4 reuniones anuales del Consejo Municipal de Juventud, para fortalecer el proceso participativo de los jóvenes del municipio.</t>
  </si>
  <si>
    <t>Crear y poner en funcionamiento durante el cuatrienio la escuela de formación política, de liderazgo y empresa para los jóvenes rurales y urbanos del municipio.</t>
  </si>
  <si>
    <t>Realizar una feria anual de emprendimiento y cultura "Jóvenes del Municipio".</t>
  </si>
  <si>
    <t>Apoyar a 150 jóvenes en el cuatrienio, en la organización y/o participación de eventos artísticos, culturales, deportivos, académicos de ámbito regional, nacional e internacional.</t>
  </si>
  <si>
    <t>PROGRAMA MUJERES EMPODERADAS</t>
  </si>
  <si>
    <t>Realizar un encuentro anual de talentos con adultos mayores donde expongan sus habilidades artísticas, culturales, saberes y vivencias regionales.</t>
  </si>
  <si>
    <t>PROGRAMA DERECHOS DE LOS ADULTOS MAYORES</t>
  </si>
  <si>
    <t xml:space="preserve">PROGRAMA TODOS EN IGUALDAD DE CONDICIONES </t>
  </si>
  <si>
    <t>Participar anualmente en un taller provincial y/o municipal de sensibilización y de motivación para la eliminación de todas las formas de discriminación contra las personas en condición de discapacidad.</t>
  </si>
  <si>
    <t>Realizar un encuentro en el cuatrienio sobre experiencias exitosas desarrolladas por personas en condición de discapacidad.</t>
  </si>
  <si>
    <t xml:space="preserve">PROGRAMA ATENCION A POBLACIÓN VICTIMA </t>
  </si>
  <si>
    <t>PROGRAMA LA CULTURA DE NUESTRA GENTE</t>
  </si>
  <si>
    <t>Realizar 2 alianzas estratégicas a nivel regional, departamental y nacional con entidades públicas y empresas privadas que fortalezcan la actividad cultural del municipio durante el periodo de gobierno.</t>
  </si>
  <si>
    <t>Realizar 8 eventos culturales,en el municipio, que fomenten la integración de sus ciudadanos, durante el cuatrienio.</t>
  </si>
  <si>
    <t>Crear y poner en funcionamiento la escuela de formación cultural, artística y musical, en el periodo de gobierno.</t>
  </si>
  <si>
    <t>Gestionar la puesta en marcha de una emisora comunitaria, como estrategia para la  apropiación del patrimonio local, liderada por jóvenes, en el periodo de gobierno.</t>
  </si>
  <si>
    <t>Gestionar la construcción al 100% de la segunda fase de la casa de la cultura, duarnte el periodo de gobierno.</t>
  </si>
  <si>
    <t>Dotar la biblioteca municipal con material bibliográfico, audiovisual, musical y lúdico para atención a la primera infancia, en el periodo de gobierno.</t>
  </si>
  <si>
    <t>Apoyar a 20 niños integrantes de un grupo musical infantil  del municipio en el periodo de gobierno.</t>
  </si>
  <si>
    <t>Poner en funcionamiento en un 80% el Consejo Municipal de Cultura con la participación de niños, adolescentes y jóvenes en el periodo de gobierno.</t>
  </si>
  <si>
    <t>Apoyar a  2 gestores culturales en el municipio, en el periodo de gobierno.</t>
  </si>
  <si>
    <t>Apoyar al 100% expresiones artisticas y culturales del municipio, durante el cuatrienio.</t>
  </si>
  <si>
    <t>Gestionar la creación del museo del oro, durante el periodo de gobierno.</t>
  </si>
  <si>
    <t xml:space="preserve">PROGRAMA VIDA SANA Y LARGA BASADA EN EL DEPORTE Y LA RECREACIÓN </t>
  </si>
  <si>
    <t>Capacitar a 10 lideres deportivos en diferentes disciplinas, durante el periodo de gobierno.</t>
  </si>
  <si>
    <t>Crear y poner en funcionamiento una escuela de formación deportiva, durante los 4 años de gobierno.</t>
  </si>
  <si>
    <t>Beneficiar a 25 adultos mayores en actividades recreo deportivas del área rural y urbana, para reducir los riesgos cardiovasculares, obesidad y combatir el sedentarismo durante el periodo de gobierno.</t>
  </si>
  <si>
    <t>Remodelar, construir, mejorar, adecuar y mantener los 8 escenarios recreo deportivos del área rural y urbana del municipio, durante el cuatrienio.</t>
  </si>
  <si>
    <t>Dotar anualmente de implementos deportivos  a las 7 juntas de acción comunal.</t>
  </si>
  <si>
    <t>Dotar anualmente de implementos deportivos  a los 7 planteles educativos.</t>
  </si>
  <si>
    <t>Apoyar a 40 deportistas por año para que participen en encuentros deportivos a nivel regional y departamental.</t>
  </si>
  <si>
    <t xml:space="preserve">PROGRAMA CONECTADOS CON EL MUNDO </t>
  </si>
  <si>
    <t>PROGRAMA CONECTIVIDAD VIAL</t>
  </si>
  <si>
    <t xml:space="preserve">Construir y mantener 100 metros de muros de contención  sobre la vía Vetas-California  para proteger  la erosión y posibles  catástrofes,  durante el cuatrienio.                  </t>
  </si>
  <si>
    <t>Mejorar y mantener 50 kilómetros de caminos veredales, en el cuatrienio.</t>
  </si>
  <si>
    <t>Mantener y mejorar 10 kilómetros de vías terciarias del municipio, durante el periodo de gobierno.</t>
  </si>
  <si>
    <t>Gestionar el mejoramiento y mantenimiento de 50 kilómetros de vías secundarias, durante el periodo de gobierno.</t>
  </si>
  <si>
    <t>Gestionar la pavimentación de 24 km de la vía Vetas – Berlín, en el periodo de gobierno.</t>
  </si>
  <si>
    <t>Realizar la señalización  y mantenimiento sobre normas de tránsito de 12 puntos estratégicos del casco urbano y rural  del municipio, durante el periodo de gobierno.</t>
  </si>
  <si>
    <t>Gestionar la construcción de 3 puentes, durante el periodo de gobierno.</t>
  </si>
  <si>
    <t>Capacitar a 20 funcionarios y docentes del municipio en TIC, durante el periodo de gobierno.</t>
  </si>
  <si>
    <t>Desarrollar una estrategia que permita la implementacion del uso de las Tecnologías de la Información y las Comunicaciones en el municipio , durante el cuatrienio.</t>
  </si>
  <si>
    <t>CIENCIA, TECNOLOGIA E INNOVACION</t>
  </si>
  <si>
    <t>PROGRAMA VETANOS HACIA LA INVESTIGACION</t>
  </si>
  <si>
    <t>Apoyar a 8 jóvenes en formación de pre-grado y postgrado durante el cuatrienio.</t>
  </si>
  <si>
    <t>Apoyar una iniciativa a semilleros de investigación, Programa ONDAS y similares, durante el periodo de gobierno.</t>
  </si>
  <si>
    <t>PROGRAMA COBERTURA TOTAL EN SERVICIOS</t>
  </si>
  <si>
    <t>Conectar 10 nuevas viviendas al servicio de energía eléctrica, durante el periodo de gobierno.</t>
  </si>
  <si>
    <t>Conectar  200 viviendas al servicio de gas natural, durante el cuatrienio.</t>
  </si>
  <si>
    <t>Ampliar, repotencializar y mantener el alumbrado público en un 20%, durante el periodo de gobierno.</t>
  </si>
  <si>
    <t>Desarrollar una estrategia con empresas prestadoras de servicios de telefonía móvil no existentes en el municipio para la instalación de nuevas antenas durante el cuatrienio.</t>
  </si>
  <si>
    <t xml:space="preserve">PROGRAMA MEJOR VIVIENDA PARA LOS HOGARES VETANOS </t>
  </si>
  <si>
    <t>Gestionar la construcción de  10 viviendas de interés social en el municipio de Vetas, durante el cuatrienio.</t>
  </si>
  <si>
    <t>Hacer 10 mejoramientos de vivienda y saneamiento básico en niveles 1 y 2 del SISBEN en la zona urbana del municipio de Vetas, durante el cuatrienio.</t>
  </si>
  <si>
    <t>Hacer 90 mejoramientos de vivienda y saneamiento básico para niveles 1 y 2 del SISBEN en la zona rural del municipio de Vetas, durante el cuatrienio.</t>
  </si>
  <si>
    <t>Reubicar una vivienda rural en el municipio de Vetas, durante el periodo de gobierno.</t>
  </si>
  <si>
    <t xml:space="preserve">Atender 28 viviendas en el municipio de Vetas, con amenaza de riesgo, durante el cuatrienio. </t>
  </si>
  <si>
    <t>Gestionar la legalización de 60 predios en el área urbana y rural existentes en el municipio, durante el cuatrienio</t>
  </si>
  <si>
    <t>PROGRAMA INFRAESTRUCTURA PUBLICA MEJORADA Y DOTADA</t>
  </si>
  <si>
    <t>Construir un parque infantil en el municipio, durante el periodo de gobierno.</t>
  </si>
  <si>
    <t>Gestionar la construcción de 3 salones comunales, en el periodo de gobierno.</t>
  </si>
  <si>
    <t>Realizar al 100% mantenimiento, adecuación al  parque principal,durante el periodo de gobierno.</t>
  </si>
  <si>
    <t xml:space="preserve">Adecuar y mantener un sitio para la casa de mercado, durante el periodo de gobierno. </t>
  </si>
  <si>
    <t xml:space="preserve">Adecuar y mantener la planta de beneficio municipal de acuerdo a la ley, durante el cuatrienio. </t>
  </si>
  <si>
    <t xml:space="preserve">Adecuar y mantener al 100% las instalaciones del palacio municipal, durante el periodo de gobierno. </t>
  </si>
  <si>
    <t>Ampliar, adecuar y remodelar al 100% la cancha  municipal, durante el cuatrienio.</t>
  </si>
  <si>
    <t>Adecuar y remodelar al 100% el coliseo municipal, durante el cuatrienio.</t>
  </si>
  <si>
    <t>Mantener 2 salones comunales, durante el cuatrienio</t>
  </si>
  <si>
    <t>Realizar 8 jornadas de vacunación pecuaria en el  municipio, durante el cuatrienio.</t>
  </si>
  <si>
    <t>Conformar el Consejo Municipal de Desarrollo Rural en Vetas, durante el cuatrienio.</t>
  </si>
  <si>
    <t xml:space="preserve">Capacitar  y apoyar a 7 productores  agropecuarios, durante el cuatrienio. </t>
  </si>
  <si>
    <t>Capacitar a 4 asociaciones productoras agropecuarias en  procesos de producción, distribución y comercialización, durante el periodo de gobierno..</t>
  </si>
  <si>
    <t>Apoyar técnicamente a 10 productores de truchicultura en el municipio, durante el cuatrienio</t>
  </si>
  <si>
    <t>Dotar y fortalecer anualmente al 100% la oficina de la UMATA con insumos y  herramientas agropecuarias, durante el periodo de gobierno.</t>
  </si>
  <si>
    <t>Desarrollar 10 huertas caseras para favorecer la seguridad alimentaria en el municipio, durante el cuatrienio.</t>
  </si>
  <si>
    <t>PROGRAMA MEJOR NIVEL DE VIDA CON MAYORES INGRESOS</t>
  </si>
  <si>
    <t>Apoyar la creación de una empresa prestadora de servicios mineros en un 60%, para promover y favorecer la empleabilidad de los vetanos frente a las multinacionales radicadas en el municipio, durante el cuatrienio.</t>
  </si>
  <si>
    <t>PROGRAMA EL AGUA EN OPTICAS CONDICIONES ES VIDA</t>
  </si>
  <si>
    <t>Mantener  el servicio de acueducto urbano en 192 usuarios, durante el cuatrienio.</t>
  </si>
  <si>
    <t>Conectar 18  nuevas viviendas al servicio de acueducto rural, durante el periodo de gobierno.</t>
  </si>
  <si>
    <t>Instalar 2 macromedidores en el acueducto municipal, durante el cuatrienio.</t>
  </si>
  <si>
    <t>Mejorar y mantener el funcionamiento en un 100% la planta de tratamiento de agua potable, durante el cuatrienio.</t>
  </si>
  <si>
    <t>Realizar 24 pruebas físico-químicas y microbiológicas anuales según lo establecido en el decreto No. 475/98 y 1575/07, durante el periodo de gobierno.</t>
  </si>
  <si>
    <t xml:space="preserve">PROGRAMA FORTALECIMIENTO INSTITUCIONAL DE SERVICIOS PUBLICOS </t>
  </si>
  <si>
    <t>Fortalecer en un 100% la unidad de servicios públicos domiciliarios del municipio, en el periodo de gobierno</t>
  </si>
  <si>
    <t xml:space="preserve">Capacitar a dos personas en operación y mantenimiento de la planta de tratamiento de agua potable y redes, durante el periodo de gobierno. </t>
  </si>
  <si>
    <t>Capacitar a 2 personas  en administración de los servicios públicos domiciliarios, durante el periodo de gobierno.</t>
  </si>
  <si>
    <t xml:space="preserve">PROGRAMA ALCANTARILLADO Y ASEO  </t>
  </si>
  <si>
    <t>Conectar 60 nuevas viviendas al servicio de alcantarillado, durante el periodo de gobierno.</t>
  </si>
  <si>
    <t>Gestionar la construcción de la planta de tratamiento de aguas residuales, durante los cuatro años de gobierno.</t>
  </si>
  <si>
    <t>Mantener al 100% el giro de los recursos al Plan Departamental de Aguas, durante el periodo de gobierno.</t>
  </si>
  <si>
    <t>Capacitar 3 guías ambientales del municipio, en el periodo de gobierno.</t>
  </si>
  <si>
    <t>Recuperar 5 áreas de suelos degradados o con potencial erosivo del municipio, durante el cuatrienio.</t>
  </si>
  <si>
    <t xml:space="preserve">PROGRAMA DESARROLLO MINERO AMBIENTAL </t>
  </si>
  <si>
    <t>Capacitar a 8 mineros, en legislación minero-ambiental vigente, y en sistemas asociativos y de formación empresarial y de seguridad industrial, duarante el cuatrienio.</t>
  </si>
  <si>
    <t>PROGRAMA GESTION INTEGRAL DEL RECURSO HIDRICO</t>
  </si>
  <si>
    <t>Reforestar y aislar una hectárea de las áreas de protección de microcuencas abastecedoras de acueductos, durante el cuatrienio</t>
  </si>
  <si>
    <t xml:space="preserve">PROGRAMA GESTION DEL RIESGO Y ATENCION DE DESASTRES </t>
  </si>
  <si>
    <t>Realizar una capacitación anualmente a los integrantes del  CLOPAD, para fortalecer su funcionamiento frente a la atención oportuna en eventualidad de desastres, durante el periodo de gobierno.</t>
  </si>
  <si>
    <t>Construir 25 metros de gaviones sobre la quebrada el salado para mitigar el riesgo de desbordamiento, en el periodo de gobierno.</t>
  </si>
  <si>
    <t>Realizar un programa de capacitación, dirigido a comunidad y entidades operativas, técnicas y educativas que hacen parte del Sistema Municipal  para la Prevención y Atención de Desastres, durante el periodo de gobierno.</t>
  </si>
  <si>
    <t>Gestionar la construcción al 100% de obras de mitigación en el municipio, que se presenten con ocasión de la ola invernal, durante el periodo de gobierno.</t>
  </si>
  <si>
    <t>Sensibilizar a 349 alumnos de las sedes educativas del municipio en gestión del riesgo y prevención y atención de desastres, duarnte el periodo de gobierno.</t>
  </si>
  <si>
    <t>Gestionar 50 kits de sobrevivencia para atención a damnificados, duarnte el periodo de gobierno.</t>
  </si>
  <si>
    <t xml:space="preserve">PROGRAMA GOBIERNO RESPONSABLE </t>
  </si>
  <si>
    <t>Realizar una rendición pública de cuentas por año a la comunidad.</t>
  </si>
  <si>
    <t>Realizar un consejo comunitario anual con participación de todos los actores presentes en el municipio.</t>
  </si>
  <si>
    <t>Publicar 4 informes de gestión, durante el cuatrienio.</t>
  </si>
  <si>
    <t xml:space="preserve">PROGRAMA CONVIVENCIA, SERGURIDAD   ARMONIA EN NUESTRO PUEBLO </t>
  </si>
  <si>
    <t>Realizar 8 talleres durante el periodo de gobierno, dirigidos a autoridades locales, familias y comunidad  sobre derechos humanos, derecho internacional humanitario,  en prevención y atención de violencia contra los niños y adolescentes y promoción de la convivencia (Ley 1098 de 2006).</t>
  </si>
  <si>
    <t>Realizar 2 campañas anuales en instituciones educativas sobre derechos de las mujeres y promoción y prevención de la violencia basada en género (Ley 1257 de 2008).</t>
  </si>
  <si>
    <t>Crear y fortalecer al 100% la inspección de policía en el municipio, durante los cuatro años de gobierno.</t>
  </si>
  <si>
    <t>Apoyar al 100% las  instituciones militares y de policía presentes en el municipio, durante el periodo de gobierno.</t>
  </si>
  <si>
    <t>Fortalecer en un 100% la Comisaría de Familia, para resolver conflictos de convivencia, protección a los derechos humanos y de la familia y en especial las zonas alejadas del municipio, durante el periodo de gobierno.</t>
  </si>
  <si>
    <t>Capacitar a 5 funcionarios de las instituciones públicas presentes en el municipio, en tema de trata de personas, durante el periodo de gobierno.</t>
  </si>
  <si>
    <t xml:space="preserve">PROGRAMA EFICIENCIA ADMINSITRATIVA INSTITUCIONAL </t>
  </si>
  <si>
    <t xml:space="preserve">Realizar   4 capacitaciones   en el cuatrienio para  fortalecer el clima laboral de los funcionarios de la administración municipal. </t>
  </si>
  <si>
    <t>Realizar un proceso integral institucional  mediante la capacitación  en gestión pública municipal, a 5   funcionarios públicos, en el periodo de gobierno.</t>
  </si>
  <si>
    <t>Dotar 8 dependencias  de la alcaldía, para garantizar un mejor servicio, durante los 4 años.</t>
  </si>
  <si>
    <t>Poner en funcionamiento al 100% el Banco de Proyectos e Inversión Pública, durante el periodo de gobierno.</t>
  </si>
  <si>
    <t>Realizar la actualización al 100%  del EOT de municipo , durante periodo de gobierno.</t>
  </si>
  <si>
    <t>Elaborar el Código de Urbanismo en el municipio, durante el periodo de gobierno.</t>
  </si>
  <si>
    <t>Revisar y actualizar el Código de Rentas del Municipio, durante el periodo de gobierno.</t>
  </si>
  <si>
    <t>Realizar la legalización de 7 predios públicos, durante el cuatrienio.</t>
  </si>
  <si>
    <t>Realizar un censo de industria y comercio en el municipio, durante el cuatrienio.</t>
  </si>
  <si>
    <t>Asegurar la prestación de la asesoría contable que permita la eficiencia en los procesos financieros del municipio en un 100% , en el periodo de gobierno.</t>
  </si>
  <si>
    <t>PROGRAMA INFRACTORES DELA LEY</t>
  </si>
  <si>
    <t xml:space="preserve">Capacitar  a  100 mujeres en edad fértil sobre temas específicos en  salud sexual y reproductiva,   (15 a 49 años), en  temas de planificación familiar y  enfermedades infectocontagiosas, durante el periodo de gobierno. </t>
  </si>
  <si>
    <t>Vincular  y asistir a 65 personas  en programas de enfermedades cardiovasculares, mediante campañas de identificación de enfermedades de alto riesgo, durante el cuatrienio.</t>
  </si>
  <si>
    <t>Detectar en el 10%  sintomáticos respiratorios (Tuberculosis) de personas mayores de 15 que consultan por primera vez en el año, durante el periodo de gonierno.</t>
  </si>
  <si>
    <t>Asisitr al 100% de las personas identificadas con tuberculosis, en el cuatrienio.</t>
  </si>
  <si>
    <t>Realizar   50 consultas médicas  por año  a mujeres   para detectar y prevenir  cáncer de cuello uterino y de mama, durante el periodo de gobierno.</t>
  </si>
  <si>
    <t>Realizar  20 consultas  por año a los habitantes del municipio en  salud mental, durante el periodo de gobierno.</t>
  </si>
  <si>
    <t>Realizar citología de primera vez a 20 mujeres de 18 a 69 años, durante el periodo de gobierno.</t>
  </si>
  <si>
    <t>Gestionar  3 visitas anuales de inspección, vigilancia y control de riesgos sanitarios, fitosanitarios, ambientales en los ámbitos laborales,  con el objeto de hacer promoción y prevención  de riesgos en la población trabajadora, durante el periodo de gobierno.</t>
  </si>
  <si>
    <t>Gestionar al 100% ante la Secretaría de Salud la modernización de la ESE municipal, durante el periodo de gobierno.</t>
  </si>
  <si>
    <t>Implementar y adoptar la política de salud ambiental en el municipio, según su categoria y competencia durante el cuatrienio.</t>
  </si>
  <si>
    <t xml:space="preserve">Diseñar, formular, implementar y evaluar al 100%  la Política pública de infancia, adolescencia y juventud con enfoque diferencial, de género, , urbano y rural con las siguientes etapas: a) Diagnóstico situacional de los niños, adolescentes y juvenes: 30% ,b) Formulación de la Política Pública:  20%,c) Elaboración del Plan Decenal de Igualdad de Oportunidades para los naj:  20% , d) Implementación de la Política Pública  y Plan Decenal de Igualdad de Oportunidades para los naj:    20%,e) Evaluación de la Política Pública:  10%, durante el cuatrienio.                         
</t>
  </si>
  <si>
    <t>Apoyar  un proyecto productivo para incentivar el emprendimiento adolescentes anualmente.</t>
  </si>
  <si>
    <t>Formular, adoptar e implementar la política pública de apoyo y fortalecimiento de la familia, discapacidad y adulto mayor, durante el periodo de gobierno.</t>
  </si>
  <si>
    <t xml:space="preserve">Lograr un proceso de formación integral que incluya aspectos psíquicos, morales, espirituales, afectivos, éticos y de valores que beneficie a 20 familias, durante el periodo de gobierno.  </t>
  </si>
  <si>
    <t>Beneficiar a 12 jóvenes con incentivos educativos, de movilidad, vivienda, salud, cultura, deporte, turismo, empleo, según sus condiciones sociales y culturales, durante el periodo de gobierno.</t>
  </si>
  <si>
    <t>Diseñar y poner en funcionamiento una estrategia integral de protección, prevención, atención y apoyo a jóvenes embarazadas del municipio, durante el periodo de gobierno.</t>
  </si>
  <si>
    <t>Formular, adoptar y poner en funcionamiento la Política Pública de la Mujer Vetana, durante el periodo de gobierno.</t>
  </si>
  <si>
    <t>Desarrollar una estrategia de asignación de incentivos para promocionar el liderazgo femenino en el municipio a nivel urbano y rural, durante el periodo de gobierno.</t>
  </si>
  <si>
    <t>Crear y poner en funcionamiento un centro vida de atención a adultos mayores, durante el periodo de gobierno.</t>
  </si>
  <si>
    <t>Generar y poner en funcionamiento una estrategia que garantice la producción de servicios y programas integrales de atención, promoción y prevención en salud mental que responda a las necesidades de los adultos mayores e involucre a su núcleo familiar, durante el periodo de gobierno.</t>
  </si>
  <si>
    <t>Beneficiar con incentivos a 12  personas en condición de discapacidad, en actividades educativas, de movilidad, vivienda, participación política, comunicación e información, cultura, recreación, salud, turismo, emprendimiento y empleo, según sus condiciones sociales, físicas y culturales, durante el periodo de gobierno.</t>
  </si>
  <si>
    <t>Apoyar la formulación e implementación al 100% del Plan Integral de Atención y Reparación a víctimas del conflicto de acuerdo a los lineamientos nacionales, durante el periodo de gobierno.</t>
  </si>
  <si>
    <t>Atender integralmente al 100% la población víctima, durante el periodo de gobierno.</t>
  </si>
  <si>
    <t>Recuperar y apoyar la banda musical municipal, durante el periodo de gobierno.</t>
  </si>
  <si>
    <t>Conmemorar 2 fechas especiales : (460 años del colegio de Vetas y los 40 años del colegio San Juan Nepomuceno), durante el periodo de gobierno.</t>
  </si>
  <si>
    <t xml:space="preserve">Gestionar  y desarrollar una olimpiada deportiva anualmente, vinculando a las 8 empresas mineras existentes en la región. </t>
  </si>
  <si>
    <t>Construir  y mantener  10 obras de arte en las vías rurales del municipio, en el cuatrienio.</t>
  </si>
  <si>
    <t xml:space="preserve">Construir 500 metros de placas huellas, durante el cuatrienio. </t>
  </si>
  <si>
    <t>Lograr la conectividad en  servicios de internet en 7 sedes educativas, alcaldía, Empres Social del Estado y parque municipal, durante el periodo de gobierno.</t>
  </si>
  <si>
    <t>Difundir e incentivar la ciencia y la tecnología en 75 adolescentes y jóvenes de los grados 9, 10 y 11 del municipio, para motivar el desarrollo de proyectos investigativos, durante el periodo de gobierno.</t>
  </si>
  <si>
    <t>Brindar acceso a 50 jóvenes bachilleres a la educación técnica y superior con programas académicos pertinentes para la región, con un alto componente de uso de nuevas tecnologías, durante el periodo de gobierno.</t>
  </si>
  <si>
    <t xml:space="preserve">PROGRAMA EL CAMPO SEGUNDO INDICADOR DE DESARROLLO ECONOMICO </t>
  </si>
  <si>
    <t xml:space="preserve">SECTOR TURISMO </t>
  </si>
  <si>
    <t>PROGRAMA POR LOS SENDEROS DE VETAS</t>
  </si>
  <si>
    <t>Capacitar 10 guias turísticos, durante el periodo de gobierno.</t>
  </si>
  <si>
    <t>Diseñar y poner en marcha un plan ecoturístico para el municipio de Vetas, durante los 4 años de gobierno.</t>
  </si>
  <si>
    <t>Optimizar  8 sistemas de acueductos  veredales, durante el periodo de gobierno.</t>
  </si>
  <si>
    <t>Instalar 196 micromedidores en las viviendas del casco urbano, durante el cuatrienio.</t>
  </si>
  <si>
    <t>Implementar en un 100% el Plan Maestro de Acueducto, durante el cuatrienio.</t>
  </si>
  <si>
    <t>Subsidiar a 196 usuarios  de los servicios públicos domiciliarios, con el programa de fondo de solidaridad y redistribución de ingresos, durante el periodo de gobierno.</t>
  </si>
  <si>
    <t>Revisar y actualizar en un 100% el Plan de Gestión Integral de Residuos Sólidos PGIR, durante el periodo de gobierno.</t>
  </si>
  <si>
    <t xml:space="preserve">Capacitar a 100 agentes replicadores en la cultura del reciclaje, en los cuatro años de gobierno. </t>
  </si>
  <si>
    <t>Mantener a 251 usuarios con la prestación del servicio de aseo en el casco urbano  y  rural, durante el periodo de gobierno.</t>
  </si>
  <si>
    <t xml:space="preserve">PROGRAMA CONTROL DE EROSIÓN, DESARROLLO Y RENOVACIÓN FORESTAL </t>
  </si>
  <si>
    <t>Reforestar  y conservar  4 hectáreas de suelo con siembra de especies nativas a los alrederores de la micro cuenca del río  Vetas, durante el periodo de gobierno.</t>
  </si>
  <si>
    <t xml:space="preserve">Identificar  y atender al 100% los diferentes escenarios de riesgos de desastres presentados en el cuatrienio. </t>
  </si>
  <si>
    <t>Socializar e implementar  en un 100%  el Plan Local de Emergencias y Contingencias PLEC, durante el periodo de gobierno.</t>
  </si>
  <si>
    <t>Gestionar la adquisición al 100% de un carro de bomberos, durante el cuatrienio.</t>
  </si>
  <si>
    <t>SECTOR PARTICIPACION COMUNITARIA</t>
  </si>
  <si>
    <t>Brindar apoyo, asesoría y asistencia a 30 comunales,  veedores ciudadanos, vocales de control social, en instrumentos y mecanismos de participación ciudadana y normas conexas a las organizaciones comunales, durante el periodo de gobierno.</t>
  </si>
  <si>
    <t>Dar apoyo administrativo, técnico y logístico en  la realización de 10 reuniones en el cuatrienio al Consejo Territorial de Planeación.</t>
  </si>
  <si>
    <t xml:space="preserve">SECTOR JUSTICIA, SEGURIDAD Y CONVIVENCIA CIUDADANA </t>
  </si>
  <si>
    <t>Revisar, elaborar y actualizar   13 herramientas de planificación  vitales en la gestión de la Administración Municipal (Plan Indicativo,  Plan Local de Salud Pública,  Plan Operativo Anual de Inversiones,  Presupuesto Municipal,  Plan Anualizado de Caja, Manual de funciones, Manual de Procesos y procedimientos, SICEP, MECI, SISBEN. Manual de Contratación,FUT, interventoría y supervisión y Plan Municipal de Seguridad Alimentaria y Nutricional), durante el periodo de gobierno.</t>
  </si>
  <si>
    <t>Realizar al 100% la actualización catastral  urbana y rural y revisión de la nomenclatura, durante el periodo de gobierno.</t>
  </si>
  <si>
    <t>Apoyar al 100% a la Policía para el traslado de detenidos por infringir la ley, durante el periodo de gobierno.</t>
  </si>
  <si>
    <t>SECTOR DERECHOS HUMANOS</t>
  </si>
  <si>
    <t>PROGRAMA EN VETAS FORTALECEMOS LOS DERECHOS HUMANOS Y EL DIH.</t>
  </si>
  <si>
    <t>Identificar, analizar y diseñar acciones para enfrentar en el 50% las principales causas de muerte en los niños y niñas en primera infancia, en coordinación con la Policía, la Comisaría de Familia e Inspección de Policía, durante el cuatrienio.</t>
  </si>
  <si>
    <t>Realizar 4 valoraciones integrales anuales al recién nacido y controles de salud, durante el primer año de vida, para evitar muertes súbitas</t>
  </si>
  <si>
    <t>Suministrar micronutrientes a 20 mujeres gestantes, durante el cuatrienio, para evitar la desnutrición global durante el embarazo.</t>
  </si>
  <si>
    <t>Educar al 100% las madres de los niños menores de 1 año en cuidados (vigilar el sueño, enfermedades respiratorias y alimentación adecuada) para evitar muertes súbitas, durante el cuatrienio.</t>
  </si>
  <si>
    <t>Acompañar y orientar en temas nutricionales a 20 madres gestantes y en lactancia, durante el cuatrienio.</t>
  </si>
  <si>
    <t>Atender oportunamente con programas de recuperación nutricional al 100% de los niños y niñas en situación de desnutrición, durante el cuatrienio.</t>
  </si>
  <si>
    <t>Coordinar con las instituciones educativas una campaña anual para valorar a 349 niños  en control de talla y peso.</t>
  </si>
  <si>
    <t>Realizar acompañamiento al 100% de los casos de transmisión materno- infantil de VIH, que se presenten durante el cuatrienio.</t>
  </si>
  <si>
    <t>Realizar anualmente valoraciones del desarrollo a 50 niños y niñas menores de 5 años, durante el cuatrienio (de acuerdo a lineamientos de la estrategia de Cero a Siempre), en coordinación con los establecimientos educativos y la Secretaría de Salud Municipal</t>
  </si>
  <si>
    <t xml:space="preserve">Realizar 4 talleres de capacitación,  a padres de familia para mejorar las habilidades en el acompañamiento de los procesos de crecimiento y desarrollo de los niños, anualmente. </t>
  </si>
  <si>
    <t>Coordinar al 100 % con el ICBF, situaciones que presenten en niños en situación de calle, en caso que se presente, durante el cuatrienio.</t>
  </si>
  <si>
    <t>Coordinar al 100 % con el ICBF, situaciones que presenten en niños declarados en situación de adoptabilidad, en caso que se presente, durante el cuatrienio.</t>
  </si>
  <si>
    <t>Desarrollar una estrategia integral con las instituciones que hacen parte del Sistema de Bienestar Familiar del municipio,  que permitan prevenir y erradicar las peores formas de trabajo infantil (explotación sexual comercial, actividades ilícitas, trabajos peligrosos por su naturaleza y por sus condiciones), durante el cuatrienio.</t>
  </si>
  <si>
    <t>Orientar a 300 adolescentes sobre el significado e implicaciones de ser padres, tendiente a lograr la reducción del embarazo en adolescentes, durante el cuatrienio.</t>
  </si>
  <si>
    <t>Realizar una estrategia que permita el desarrollo de prácticas pedagógicas para la formación ciudadana del preescolar: juicio moral, comprensión de emociones y manejo de reglas en los establecimientos educativos y hogares de bienestar del municipio, anualmente.</t>
  </si>
  <si>
    <t>Apoyar a 45 familias del Programa Presidencial Red Unidos con el propósito de disminuir la pobreza extrema en el municipio.</t>
  </si>
  <si>
    <t>Formar y acompañar a 60 familias con niños y niñas menores de 6 años, en prácticas de cuidado y crianza, fortalecimiento de vínculos y  educación para promover el desarrollo infantil, durante el cuatrienio.</t>
  </si>
  <si>
    <t>Formar y acompañar a 80 familias con niños, niñas y adolescentes, en procesos de formación para su desarrollo, durante el cuatrienio</t>
  </si>
  <si>
    <t>Liderar una campaña de divulgación para la promoción de la lactancia materna con padres, madres y cuidadores presentes en el municipio, durante el cuatrienio.</t>
  </si>
  <si>
    <t>Conformar y fortalecer el Comité de Justicia Transicional, durante el cuatrienio.</t>
  </si>
  <si>
    <t>Apoyar los Centros de Atención Especializada – CAES para la atención a menores infractores de la ley penal, durante el cuatrienio.</t>
  </si>
  <si>
    <t>Conformar y poner en funcionamiento 2 Comités (Trata de Personas y de derechos humanos) en el municipio, durante el cuatrienio.</t>
  </si>
  <si>
    <t>Fortalecer la red de apoyo social, en el municipio durante el cuatrienio.</t>
  </si>
  <si>
    <t>Desarrollar en coordinación con el I.C.B.F y Comisaría de familia acciones tendientes a detectar casos de trabajo infantil y erradicarlos en el municipio en el 100%, durante el cuatrienio.</t>
  </si>
  <si>
    <t>TOTAL PROGRAMA</t>
  </si>
  <si>
    <t xml:space="preserve">PROGRAMA JOVENES CAPACES </t>
  </si>
  <si>
    <t xml:space="preserve">PROGRAMA BIENESTAR PARA LOS VETANOS </t>
  </si>
  <si>
    <t>TOTAL PROYECTADO</t>
  </si>
  <si>
    <t>META DE PRODUCTO</t>
  </si>
  <si>
    <t>RECURSOS PROPIOS</t>
  </si>
  <si>
    <t>REGALIAS</t>
  </si>
  <si>
    <t xml:space="preserve">OTROS </t>
  </si>
  <si>
    <t xml:space="preserve">TOTAL </t>
  </si>
  <si>
    <t>TOTAL</t>
  </si>
  <si>
    <t>OTROS</t>
  </si>
  <si>
    <t>MATRIZ PLAN PLURIANUAL DE INVERSIONES</t>
  </si>
  <si>
    <t>INDICADOR DE PRODUCTO</t>
  </si>
  <si>
    <t xml:space="preserve">RECURSOS POR  FUENTE DE FINANCIACION  PARA CADA VIGENCIA </t>
  </si>
  <si>
    <t>NOMBRE INDICADOR</t>
  </si>
  <si>
    <t>LINEA BASE</t>
  </si>
  <si>
    <t>ESPERADO CUATRIENIO</t>
  </si>
  <si>
    <t>ICLD</t>
  </si>
  <si>
    <t>Dotar la sede principal del colegio con laboratorios de fisica y quimica en el cuatrienio.</t>
  </si>
  <si>
    <t xml:space="preserve">Vacunar al 100%los niños menores de 1 año con DPT. </t>
  </si>
  <si>
    <t>Realizar 2 campañas anuales para la prevención de enfermedades infecciosas y parasitarias  en la población  de nivel I y II del SISBEN, durante el periodo de gobierno.</t>
  </si>
  <si>
    <t>Realizar 4 actividades anuales de tipo deportivo y recreativo, para beneficiar a niños,  adolescentes, jóvenes y adultos durante el cuatrienio.</t>
  </si>
  <si>
    <t>Construir y poner en funcionamiento  5 invernaderos comunitarios en el municipio de Vetas, durante los 4 años de gobierno.</t>
  </si>
  <si>
    <t>Celebrar 4 convenios con entidades público privadas en cualificación del recurso humano para hacerlos competitivos laboralmente, durante el periodo de gobierno.</t>
  </si>
  <si>
    <t>Capacitar a 20 mineros en programas de producción limpia y desarrollo sostenible, durante el cuatrienio.</t>
  </si>
  <si>
    <t>Apoyar la tecnificación de la minería a la asociación de mineros de pequeña y mediana escala, durante el cuatrienio.</t>
  </si>
  <si>
    <t>Gestionar en un 100% la capacitación y dotación del cuerpo de bomberos del municipio, durante el cuatrienio.</t>
  </si>
  <si>
    <t>Realizar una charla educativa anual a la ciudadanía para prevenir infracciones a la ley.</t>
  </si>
  <si>
    <t>INDICADOR</t>
  </si>
  <si>
    <t>CODIGO SSEPPI</t>
  </si>
  <si>
    <t xml:space="preserve">PROYECTO DE INVERSION </t>
  </si>
  <si>
    <t>META PROYECTO</t>
  </si>
  <si>
    <t>VALOR PROGRAMADO VIGENCIA 2012</t>
  </si>
  <si>
    <t>No requiere</t>
  </si>
  <si>
    <t>Suministro de alimentación para los estudiantes del municipio de Vetas</t>
  </si>
  <si>
    <t>suministro de transporte escolar a los estudiantes del municipio de Vetas</t>
  </si>
  <si>
    <t>Pago de servicios públicos a los establecimientos educativos del municipio</t>
  </si>
  <si>
    <t>Dotación de restaurantes escolares del municipio de Vetas</t>
  </si>
  <si>
    <t>no requiere</t>
  </si>
  <si>
    <t>PONDERADOR</t>
  </si>
  <si>
    <t>LINEA ESTRATEGICA</t>
  </si>
  <si>
    <t>SECTOR DE COMPETENCIA/PROGRAMA</t>
  </si>
  <si>
    <t>IGUALDAD SOCIAL Y POBLACIONAL</t>
  </si>
  <si>
    <t>PROYECTO</t>
  </si>
  <si>
    <t xml:space="preserve">INDICADOR </t>
  </si>
  <si>
    <t>RESPONSABLE</t>
  </si>
  <si>
    <t>Costo total del proyecto</t>
  </si>
  <si>
    <t>Nº de estudiantes matriculados en educación inicial.</t>
  </si>
  <si>
    <t>% de fortalecimiento unidad de servicios públicos domiciliarios.</t>
  </si>
  <si>
    <t>Nº de estudiantes matriculados en básica primaria.</t>
  </si>
  <si>
    <t>Nº de alumnos matriculados en básica secundaria.</t>
  </si>
  <si>
    <t>Nº de alumnos matriculados en educación media.</t>
  </si>
  <si>
    <t>Nº de estudiantes  beneficiados</t>
  </si>
  <si>
    <t>Nº de estudiantes  beneficiados.</t>
  </si>
  <si>
    <t>Nº de establecimientos educativos con pago de servicios  públicos.</t>
  </si>
  <si>
    <t>Nº  de restaurantes escolares dotados</t>
  </si>
  <si>
    <t>Nº de estudiantes mantenidos</t>
  </si>
  <si>
    <t>Nº de instituciones dotadas.</t>
  </si>
  <si>
    <t>Sede principal dotada.</t>
  </si>
  <si>
    <t>Nº de instituciones dotadas</t>
  </si>
  <si>
    <t>Nº de sedes dotadas.</t>
  </si>
  <si>
    <t>Nº de instituciones mantenidas</t>
  </si>
  <si>
    <t>% de avance mantenimiento bus escolar.</t>
  </si>
  <si>
    <t>Nº de equipos de cómputos gestionados.</t>
  </si>
  <si>
    <t>Nº de sedes educativas dotadas</t>
  </si>
  <si>
    <t>Nº de niños, adolescentes y  jóvenes beneficiados.</t>
  </si>
  <si>
    <t>Nº de estudiantes que hablan inglés/total de estudiantes.</t>
  </si>
  <si>
    <t>No. de personas mantenidas en el régimen subsidiado</t>
  </si>
  <si>
    <t>% del avance.</t>
  </si>
  <si>
    <t>Nº de niños de un año vacunados con la triple viral/Total de niños menores de 1 año.</t>
  </si>
  <si>
    <t>Nº de niños de 1 a 5 años vacunados/Total de niños de 1 a 5 años.</t>
  </si>
  <si>
    <t>Nº de mujeres gestantes vacunadas/total de mujeres embarazadas</t>
  </si>
  <si>
    <t>Estrategia implementada</t>
  </si>
  <si>
    <t>Nº de niños vacunados con 3 dosis de DPT/Total de niños menos del 1 año*100.</t>
  </si>
  <si>
    <t>% estado de avance.</t>
  </si>
  <si>
    <t>Nº de valoraciones integrales realizadas.</t>
  </si>
  <si>
    <t>Nº de mujeres gestantes beneficiadas</t>
  </si>
  <si>
    <t>Nº de madres de niños menores de un año capacitadas/Total de madres de niños menores de un año.</t>
  </si>
  <si>
    <t>Nº de madres gestantes y en lactancia acompañadas y orientadas.</t>
  </si>
  <si>
    <t>Nº de niños en situación de desnutrición atendidos/Total de niños en situación de desnutrición.</t>
  </si>
  <si>
    <t>Nº de niños valorados</t>
  </si>
  <si>
    <t>casos de transmisión materno infantil de VIH acompañados/total de casos identificados</t>
  </si>
  <si>
    <t>N° de valoraciones realizadas</t>
  </si>
  <si>
    <t xml:space="preserve">Nº de mujeres beneficiadas </t>
  </si>
  <si>
    <t>Nº de mujeres gestantes atendidas/total de mujeres gestantes</t>
  </si>
  <si>
    <t>Nº de talleres de capacitación realizados.</t>
  </si>
  <si>
    <t>Nº de talleres realizados.</t>
  </si>
  <si>
    <t>Nº de niños menores de 5 años atendidos.</t>
  </si>
  <si>
    <t>Nº de actividades realizadas</t>
  </si>
  <si>
    <t>Nº de padres de familia sensibilizados</t>
  </si>
  <si>
    <t>Nº de campañas realizadas</t>
  </si>
  <si>
    <t>Nº de personas vinculadas y asistidas</t>
  </si>
  <si>
    <t>Nº de personas asistidas/total personas identificadas con tuberculosis.</t>
  </si>
  <si>
    <t>Nº de escolares asistidos</t>
  </si>
  <si>
    <t>Nº de campañas realizadas.</t>
  </si>
  <si>
    <t>Nº  de campañas realizadas</t>
  </si>
  <si>
    <t>Nº  de capacitaciones realizadas.</t>
  </si>
  <si>
    <t>Nº de mujeres consultadas</t>
  </si>
  <si>
    <t>Nº de consultas realizadas</t>
  </si>
  <si>
    <t>Nº de mujeres de 18 a 69 años con citología de primera vez</t>
  </si>
  <si>
    <t>Nº de caninos y  felinos  vacunados</t>
  </si>
  <si>
    <t>Nº de visitas de inspección realizada</t>
  </si>
  <si>
    <t>Plan de Prevención elaborado</t>
  </si>
  <si>
    <t>%  estado de avance.</t>
  </si>
  <si>
    <t>Nº de  personas beneficiadas</t>
  </si>
  <si>
    <t>Plan de Salud desarrollado</t>
  </si>
  <si>
    <t>Política implementada y adoptada</t>
  </si>
  <si>
    <t>% Estado de Avance en el diseño, formulación, implementación y evaluación de la Política Pública.</t>
  </si>
  <si>
    <t>Estrategia desarrollada y aplicada</t>
  </si>
  <si>
    <t>Nº de proyectos productivos apoyados.</t>
  </si>
  <si>
    <t>Nº de consejos comunales realizados</t>
  </si>
  <si>
    <t>% Estado de avance en la coordinación de situaciones de adoptabilidad</t>
  </si>
  <si>
    <t>Estrategia diseñada</t>
  </si>
  <si>
    <t>Nº de adolescentes orientados.</t>
  </si>
  <si>
    <t>Estrategia realizada</t>
  </si>
  <si>
    <t>Nº De sesiones realizadas</t>
  </si>
  <si>
    <t>Nº de eventos desarrollados.</t>
  </si>
  <si>
    <t>Política pública de familia formulada y en ejecución</t>
  </si>
  <si>
    <t>Nº de familias intervenidas</t>
  </si>
  <si>
    <t>Nº de  familias beneficiadas</t>
  </si>
  <si>
    <t>Nº de encuentros generacionales realizados</t>
  </si>
  <si>
    <t>Nº programas de formación cultural.</t>
  </si>
  <si>
    <t>Nº de familias apoyadas</t>
  </si>
  <si>
    <t>Nº de familias formadas y acompañadas</t>
  </si>
  <si>
    <t>Campaña de divulgación liderada.</t>
  </si>
  <si>
    <t>Nº de encuentros realizados</t>
  </si>
  <si>
    <t>Escuela creada y en funcionamiento</t>
  </si>
  <si>
    <t>Nº de ferias realizadas</t>
  </si>
  <si>
    <t>Nº de jóvenes apoyados</t>
  </si>
  <si>
    <t>Nº de jóvenes beneficiados</t>
  </si>
  <si>
    <t>Estrategia  diseñada y en funcionamiento</t>
  </si>
  <si>
    <t>Política formuladas, adoptada y en funcionamiento</t>
  </si>
  <si>
    <t>Nº de eventos  regionales realizados</t>
  </si>
  <si>
    <t>Estrategia diseñada e implementada</t>
  </si>
  <si>
    <t>Nº de iniciativas productivas apoyadas</t>
  </si>
  <si>
    <t>Nº de programas desarrollados</t>
  </si>
  <si>
    <t>Centro creado y puesto en funcionamiento</t>
  </si>
  <si>
    <t>Estrategia generada y en funcionamiento</t>
  </si>
  <si>
    <t>Nº de personas beneficiadas</t>
  </si>
  <si>
    <t>Nº de talleres en que se participa</t>
  </si>
  <si>
    <t>Encuentro realizado</t>
  </si>
  <si>
    <t>% de avance en la implementación</t>
  </si>
  <si>
    <t>Comité conformado y fortalecido</t>
  </si>
  <si>
    <t>% de avance</t>
  </si>
  <si>
    <t>Nº de eventos culturales realizados</t>
  </si>
  <si>
    <t>Escuela de formación cultural artística y musical creada</t>
  </si>
  <si>
    <t>Nº  de alianzas realizadas</t>
  </si>
  <si>
    <t>banda musical recuperada y apoyada</t>
  </si>
  <si>
    <t>emisora comunitaria puesta en marcha.</t>
  </si>
  <si>
    <t>% de avance en la dotación de la casa de la cultura.</t>
  </si>
  <si>
    <t>% de avance construcción segunda fase.</t>
  </si>
  <si>
    <t>Biblioteca municipal dotada</t>
  </si>
  <si>
    <t>Nº de niños apoyados</t>
  </si>
  <si>
    <t>% de avance en el funcionamiento del Consejo Municipal de Cultura.</t>
  </si>
  <si>
    <t>Nº de gestores culturales apoyados</t>
  </si>
  <si>
    <t>Nº de fechas conmemoradas</t>
  </si>
  <si>
    <t>% de estado de avance en los apoyos</t>
  </si>
  <si>
    <t>Museo de la cultura creado</t>
  </si>
  <si>
    <t>Nº de personas capacitadas</t>
  </si>
  <si>
    <t>Nº de adultos mayores beneficiados</t>
  </si>
  <si>
    <t>Nº de escenarios deportivos remodelados, mejorados y adecuados.</t>
  </si>
  <si>
    <t xml:space="preserve">Nº de juntas de acción comunal dotadas </t>
  </si>
  <si>
    <t xml:space="preserve">Nº  de planteles educativos dotados  </t>
  </si>
  <si>
    <t>Nº de  olimpiadas realizadas</t>
  </si>
  <si>
    <t>Nº de deportistas apoyados</t>
  </si>
  <si>
    <t>Nº de obras de arte construidas y mantenidas.</t>
  </si>
  <si>
    <t>Nº de metros de muros de contención  construidos y con mantenimiento.</t>
  </si>
  <si>
    <t>Nº de  kilómetros de caminos veredales  con mejoramiento y mantenimiento</t>
  </si>
  <si>
    <t>Nº de kilómetros  de vías terciarias con mantenimiento y mejoramiento.</t>
  </si>
  <si>
    <t>Nº de kilómetros de vías secundarios mejorados y mantenidos</t>
  </si>
  <si>
    <t>Nº de km de vía pavimentados</t>
  </si>
  <si>
    <t>Nº de puntos estratégicos del casco urbano del municipio señalizados  y mantenidos.</t>
  </si>
  <si>
    <t>Nº de vehículos gestionados</t>
  </si>
  <si>
    <t>Nº de puentes construidos</t>
  </si>
  <si>
    <t>Nº de metros construidos</t>
  </si>
  <si>
    <t>Nº de sedes institucionales con conectividad.</t>
  </si>
  <si>
    <t>No. de funcionarios y docentes capacitados</t>
  </si>
  <si>
    <t>Nº de estrategias desarrolladas</t>
  </si>
  <si>
    <t>Nº de adolescentes y jóvenes beneficiados.</t>
  </si>
  <si>
    <t>Iniciativa apoyada</t>
  </si>
  <si>
    <t>Nº de  viviendas conectadas</t>
  </si>
  <si>
    <t>Nº de nuevas viviendas conectadas al servicio de energía eléctrica</t>
  </si>
  <si>
    <t>% estado de avance</t>
  </si>
  <si>
    <t>Estrategia desarrollada</t>
  </si>
  <si>
    <t>Nº de viviendas mejoradas</t>
  </si>
  <si>
    <t>Nº de  viviendas construidas</t>
  </si>
  <si>
    <t>Vivienda reubicada</t>
  </si>
  <si>
    <t>Nº  de viviendas atendidas</t>
  </si>
  <si>
    <t>Nº de predios legalizados</t>
  </si>
  <si>
    <t>Parque infantil construido</t>
  </si>
  <si>
    <t>Nº de salones comunales construidos</t>
  </si>
  <si>
    <t>% de estado de avance en el mantenimiento y adecuación del parque.</t>
  </si>
  <si>
    <t>Sitio adecuado y con mantenimiento</t>
  </si>
  <si>
    <t>Planta de beneficio adecuada y con mantenimiento</t>
  </si>
  <si>
    <t xml:space="preserve">% de avance en adecuaciones y mantenimientos realizados. </t>
  </si>
  <si>
    <t>% estado de avance en la ampliación, adecuación y remodelación de la cancha municipal.</t>
  </si>
  <si>
    <t>Nº de salones  comunales mantenidos.</t>
  </si>
  <si>
    <t>Consejo de Desarrollo Rural conformado.</t>
  </si>
  <si>
    <t>Nº de productores agropecuarios capacitados y apoyados.</t>
  </si>
  <si>
    <t>Nº de asociaciones capacitadas</t>
  </si>
  <si>
    <t>Nº de productores de truchicultura apoyados técnicamente.</t>
  </si>
  <si>
    <t>Nº de invernaderos construidos y en funcionamiento.</t>
  </si>
  <si>
    <t>Nº de huertas caseras desarrolladas</t>
  </si>
  <si>
    <t>Nº de jornadas de vacunación pecuarias realizadas.</t>
  </si>
  <si>
    <t>% avance en la creación de la empresa prestadora de servicios mineros</t>
  </si>
  <si>
    <t>No. de convenios celebrados</t>
  </si>
  <si>
    <t>Plan turístico diseñado y en marcha.</t>
  </si>
  <si>
    <t>Nº de guías turísticos capacitados</t>
  </si>
  <si>
    <t>Nº de usuarios conectados acueducto urbano.</t>
  </si>
  <si>
    <t>Nº de viviendas conectadas acueductos rurales</t>
  </si>
  <si>
    <t>Nº de acueductos mantenidos durante el periodo de gobierno</t>
  </si>
  <si>
    <t>Nº de macromedidores instalados</t>
  </si>
  <si>
    <t>Nº de micromedidores  instalados</t>
  </si>
  <si>
    <t>% de avance implementación Plan Maestro.</t>
  </si>
  <si>
    <t>% en el mejoramiento y puesta en funcionamiento de la planta de tratamiento de agua potable</t>
  </si>
  <si>
    <t>Nº de pruebas realizadas</t>
  </si>
  <si>
    <t>Nº de metros de redes con reposición</t>
  </si>
  <si>
    <t>Nº de metros de manguera con reposición.</t>
  </si>
  <si>
    <t>Nº de personas capacitadas.</t>
  </si>
  <si>
    <t>Nº de usuarios subsidiados</t>
  </si>
  <si>
    <t>Nº de viviendas conectadas</t>
  </si>
  <si>
    <t>Planta de tratamiento de aguas residuales, construida</t>
  </si>
  <si>
    <t>Nº de usuarios con la prestación del servicio.</t>
  </si>
  <si>
    <t>% de avance en giros de recursos al Plan Departamental de Aguas.</t>
  </si>
  <si>
    <t>Nº de agentes replicadores capacitados</t>
  </si>
  <si>
    <t>Nº de hectáreas reforestadas</t>
  </si>
  <si>
    <t>Nº de guías capacitados</t>
  </si>
  <si>
    <t>Nº de áreas recuperadas</t>
  </si>
  <si>
    <t>Nº de mineros capacitados</t>
  </si>
  <si>
    <t>Nº de asociaciones de mineros apoyados.</t>
  </si>
  <si>
    <t>Hectárea reforestada y aislada</t>
  </si>
  <si>
    <t>% de escenarios identificados y atendidos.</t>
  </si>
  <si>
    <t>Nº de procesos educativos realizados</t>
  </si>
  <si>
    <t>Nº   de capacitaciones realizadas</t>
  </si>
  <si>
    <t>% estado de avance en la capacitación y dotación del cuerpo de bomberos</t>
  </si>
  <si>
    <t>Nº de programas realizados</t>
  </si>
  <si>
    <t>Nº de alumnos sensibilizados</t>
  </si>
  <si>
    <t>Nº de kits de sobrevivencia entregados. a damnificados</t>
  </si>
  <si>
    <t>% estado de avance en la socialización e implementación del PLEC</t>
  </si>
  <si>
    <t>%  estado de avance en la gestión y adquisición de un carro de bomberos</t>
  </si>
  <si>
    <t>Nº de personas asistidas</t>
  </si>
  <si>
    <t>Nº de reuniones apoyadas para el Consejo Territorial de Planeación</t>
  </si>
  <si>
    <t>Nº de rendiciones públicas de cuentas realizadas.</t>
  </si>
  <si>
    <t>Nº de consejos comunitarios realizados</t>
  </si>
  <si>
    <t>Nº de informes publicados</t>
  </si>
  <si>
    <t>Plan integral elaborado y ejecutado</t>
  </si>
  <si>
    <t>% en la creación y fortalecimiento</t>
  </si>
  <si>
    <t>% en el fortalecimiento de la Comisaría de Familia.</t>
  </si>
  <si>
    <t>Nº de funcionaros capacitados</t>
  </si>
  <si>
    <t>% apoyo a las instituciones militares</t>
  </si>
  <si>
    <t>Nº de herramientas de planificación elaboradas y actualizadas.</t>
  </si>
  <si>
    <t>Nº de capacitaciones realizadas</t>
  </si>
  <si>
    <t>Nº de funcionarios capacitados</t>
  </si>
  <si>
    <t>% de avance en las actuaciones administrativas del municipio</t>
  </si>
  <si>
    <t>Nº de dependencias dotadas</t>
  </si>
  <si>
    <t>% de avance funcionamiento Banco de Proyectos.</t>
  </si>
  <si>
    <t xml:space="preserve">% actualización estratificación rural y urbana. </t>
  </si>
  <si>
    <t>Código de Urbanismo elaborado</t>
  </si>
  <si>
    <t>Código revisado y actualizado</t>
  </si>
  <si>
    <t>Nº de predios públicos legalizados</t>
  </si>
  <si>
    <t>Censo realizado</t>
  </si>
  <si>
    <t>% en la prestación de la asesoría contable.</t>
  </si>
  <si>
    <t>% en  los apoyos brindados a la Policía.</t>
  </si>
  <si>
    <t>Nº de charlas educativas realizadas a la ciudadanía.</t>
  </si>
  <si>
    <t>Nº de Centros de atención especializada apoyados</t>
  </si>
  <si>
    <t>Nº de Comités conformados y fortalecidos.</t>
  </si>
  <si>
    <t>Red de apoyo fortalecida</t>
  </si>
  <si>
    <t>Nº de casos de trabajo infantil detectados y erradicados/Total de casos</t>
  </si>
  <si>
    <t>CONECTIVIDAD E INNOVACION</t>
  </si>
  <si>
    <t>DESARROLLO URBANISTICO</t>
  </si>
  <si>
    <t>DESARROLLO ECONOMICO</t>
  </si>
  <si>
    <t>SUSTENTABLE</t>
  </si>
  <si>
    <t>GESTION DE GOBIERNO</t>
  </si>
  <si>
    <t>ESE</t>
  </si>
  <si>
    <r>
      <t>N</t>
    </r>
    <r>
      <rPr>
        <b/>
        <sz val="9"/>
        <color indexed="8"/>
        <rFont val="Arial"/>
        <family val="2"/>
      </rPr>
      <t>º</t>
    </r>
    <r>
      <rPr>
        <sz val="9"/>
        <color indexed="8"/>
        <rFont val="Arial"/>
        <family val="2"/>
      </rPr>
      <t xml:space="preserve"> de reuniones de CLOPAD realizadas.</t>
    </r>
  </si>
  <si>
    <t>Gestionar la construcción al 100% de la segunda fase de la casa de la cultura, durante el periodo de gobierno.</t>
  </si>
  <si>
    <t>secretaría de Gobierno y General</t>
  </si>
  <si>
    <t>N° de familias atendidas</t>
  </si>
  <si>
    <t>Secretaría de Gobierno y General</t>
  </si>
  <si>
    <t>Documento elaborado y aprobado</t>
  </si>
  <si>
    <t>Secretaría de Planeación</t>
  </si>
  <si>
    <t>Secretaría de Hacienda y del Tesoro</t>
  </si>
  <si>
    <t>N° de procesos contractuales adelantados</t>
  </si>
  <si>
    <t>Secretaría de Planeación y de Obras Públicas</t>
  </si>
  <si>
    <t>Secretaria de Gobierno y General</t>
  </si>
  <si>
    <t>N° de campañas realizadas</t>
  </si>
  <si>
    <t>Número de reuniones apoyadas</t>
  </si>
  <si>
    <t>N° de usuarios beneficiados</t>
  </si>
  <si>
    <t>Líder de cultura</t>
  </si>
  <si>
    <t>N° de equipos dotados</t>
  </si>
  <si>
    <t>N° de sedes dotadas</t>
  </si>
  <si>
    <t>Alcalde Municipal</t>
  </si>
  <si>
    <r>
      <t>Nº</t>
    </r>
    <r>
      <rPr>
        <b/>
        <sz val="9"/>
        <color indexed="8"/>
        <rFont val="Arial"/>
        <family val="2"/>
      </rPr>
      <t xml:space="preserve"> </t>
    </r>
    <r>
      <rPr>
        <sz val="9"/>
        <color indexed="8"/>
        <rFont val="Arial"/>
        <family val="2"/>
      </rPr>
      <t>de personas en que se detectó sintomáticos respiratorios/total mayores de 15 años que consultaron.</t>
    </r>
  </si>
  <si>
    <t>% del avance de dotaciones y fortalecimientos a la UMATA.</t>
  </si>
  <si>
    <r>
      <t xml:space="preserve">% </t>
    </r>
    <r>
      <rPr>
        <sz val="9"/>
        <color indexed="8"/>
        <rFont val="Arial"/>
        <family val="2"/>
      </rPr>
      <t>estado de avance EOT</t>
    </r>
  </si>
  <si>
    <t>N° de dependencias fortalecidas</t>
  </si>
  <si>
    <t>N° de procesos administrativos fortalecidos</t>
  </si>
  <si>
    <t>N° de insumos adquiridos</t>
  </si>
  <si>
    <t>Despacho del Alcalde</t>
  </si>
  <si>
    <t>Líder</t>
  </si>
  <si>
    <t>Apoyo técnico para la revisión del EOT del municipio de vetas, departamento de Santander</t>
  </si>
  <si>
    <t xml:space="preserve">Mantenimiento de los acueductos  veredales de Ortegón y borrero del municipio de Vetas Santander </t>
  </si>
  <si>
    <t>Actualización catastral urbana y rurtal y revisión de la nomenclatura</t>
  </si>
  <si>
    <t>Actualización de la estratificación urbana y rural de Vetas</t>
  </si>
  <si>
    <t>Actualización de trece herramientas administrativas del municipio de Vetas</t>
  </si>
  <si>
    <t>Adecuación de las instalaciones del palacio municipal de Vetas</t>
  </si>
  <si>
    <t>% de estado de avance</t>
  </si>
  <si>
    <t>Atención de escenarios de riesgos que se prenten en el municipio de Vetas</t>
  </si>
  <si>
    <t>Apoyo logístico a la reunión del comité CLOPAD</t>
  </si>
  <si>
    <t>Capacitación al comité CLOPAD</t>
  </si>
  <si>
    <t>Capacitación en prevención y atención de desastes</t>
  </si>
  <si>
    <t>Capacitación al Comité PLEC</t>
  </si>
  <si>
    <t>Puesta en marcha de olimpiadas, justas deportivas, campeonatos y encuentrosdeportivos en el municipio</t>
  </si>
  <si>
    <t xml:space="preserve">Dotación de implementos deportivos </t>
  </si>
  <si>
    <t>Adecuación, remodelación, construcción, mejoramiento y mantenimiento de 8 escentarios recreodeportivos del municipio de Vetas</t>
  </si>
  <si>
    <t xml:space="preserve">Capacitación </t>
  </si>
  <si>
    <t>Capacitación</t>
  </si>
  <si>
    <t>Traslado de estudiantes del municipio de Vetas Santander en el bus escolar para garantizar su asistencia a clases</t>
  </si>
  <si>
    <t>Capacitación en joyería a los estudiantes de 10 y 11 del Colegio San Juan Nepomuceno del municipio de Vetas Santander</t>
  </si>
  <si>
    <t>Dotación de la casa de la cultura municipal de Vetas Santander</t>
  </si>
  <si>
    <t>Construcción auditorio casa de la cultura del municipio de Vetas Santander</t>
  </si>
  <si>
    <t>Subsidio con transporte escolar a 54 estudiantes del municipio de Vetas Santander</t>
  </si>
  <si>
    <t>Pago de servicios públicos de las 7 sedes educativas presentes en  el municipio de Vetas Santander</t>
  </si>
  <si>
    <t>Dotación de material didáctico para el grado preescolar del municipio de Vetas Santander</t>
  </si>
  <si>
    <t>Dotación de aula de bilinguismo con enfasis en nuevas tecnologias de laboratorio de fisica quimica y biologia en el municipio de Vetas Santander</t>
  </si>
  <si>
    <t>Mantenimiento y adecuación de la infraestructura educativa del municipio de Vetas Santander</t>
  </si>
  <si>
    <t>Implementación de las estrategia "niños y adolescentes líderes" del municipio de Vetas Santander</t>
  </si>
  <si>
    <t>Programa a la niñez en situación de vulnerabilidad (calle,adopción, trabajador, víctima del conflicto) del municipio de Vetas Santander</t>
  </si>
  <si>
    <t>Proyecto para la atención de familias en acción del municipio de Vetas Santander</t>
  </si>
  <si>
    <t>Puesta en marcha de un centro vida del municipio de Vetas Santander</t>
  </si>
  <si>
    <t>Proyecto para desarrollar una estrategia de atención integral al adulto mayor del municipio de Vetas Santander</t>
  </si>
  <si>
    <t>Implementación de expresiones artísticas y culturales  en el marco de  las festividades religiosas del patrono san juan Nepomuceno para preservar y fortalecer nuestro folclor, cultural y tradicion anceestral en el municipio de Vetas Santander durante los días 26 y 27 de mayo de 2012</t>
  </si>
  <si>
    <t>Dotación de la biblioteca municipal y asistencia para la atención a la primera infancia que asiste a ella del municipio de Vetas Santander</t>
  </si>
  <si>
    <t>Montaje y puesta en marcha del consejo municipal de cultura del municipio de Vetas Santander</t>
  </si>
  <si>
    <t>Incrementar en 16 el número de estudiantes beneficiados con transporte escolar, en el cuatrienio.</t>
  </si>
  <si>
    <t>Capacitación a líderes deportivos del municipio de Vetas Santander</t>
  </si>
  <si>
    <t>Implementación de la escuela de formación deportiva del municipio de Vetas Santander</t>
  </si>
  <si>
    <t>Implementación de actividades recreo deportivas del municipio de Vetas Santander, para el adulto mayor</t>
  </si>
  <si>
    <t>Puesta en marcha de un campeonato deportivo relámpago en favor de la comunidad vetana de Santander</t>
  </si>
  <si>
    <t>Mejoramiento de caminos veredales del municipio de Vetas Santander</t>
  </si>
  <si>
    <t>Mantenimiento del alumbrado público para el sector el centro del casco urbano del municipio de Vetas Santander</t>
  </si>
  <si>
    <t>Suministro de accesorios y materiales para el mantenimiento de acueductos del municipio de Vetas Santander</t>
  </si>
  <si>
    <t>Fortalecimiento de los procesos integrales de gestión administrativa, en la unidad de servicios públicos de acueducto, alcantarillado y aseo del municipio de Vetas Santander</t>
  </si>
  <si>
    <t>Traslado y disposición final de residuos sólidos del municipio de Vetas Santander</t>
  </si>
  <si>
    <t xml:space="preserve">Traslado de residuos solidos del municipio de Vetas Santander hasta el sitio la cortada del municipio de Pamplona Norte de Santander 
</t>
  </si>
  <si>
    <t>Mantenimiento del vehículo de recolección de residuos sólidos del municipio de Vetas Santander</t>
  </si>
  <si>
    <t>Conservación, adecuación y reforestación de las microcuencas  que abastecen el cueducto del casco urbano  del municipio de Vetas Santander</t>
  </si>
  <si>
    <t>Asistencia técnica y apoyo para la formulación, concertación y adopción del plan de desarrollo municipal  de Vetas Santander así como sus respectivos anexos.</t>
  </si>
  <si>
    <t>Fortalecimiento en la gestión operativa de la Administración municipal de Vetas Santander</t>
  </si>
  <si>
    <t>Fortalecimiento de la Secretaría de Gobierno y General del municipio de Vetas Santander</t>
  </si>
  <si>
    <t>Asistencia y apoyo a la gestión de la Alcaldía Municipal de Vetas Santander</t>
  </si>
  <si>
    <t>Fortalecimiento del archivo municipal de Vetas Santander</t>
  </si>
  <si>
    <t>Fortalecimiento de los procesos administrativos a nivel estatal del municipio de Vetas Santander</t>
  </si>
  <si>
    <t>Fortalecimiento de los procesos contables del municipio de Vetas Santander</t>
  </si>
  <si>
    <t>Proyecto para asegurar la asesoría jurídica en la legalidad y oportunidad de las actuaciones del municipio de Vetas Santander</t>
  </si>
  <si>
    <t>Proyecto para la atención al proceso contractual del municipio de Vetas Santander</t>
  </si>
  <si>
    <t>Dotación de extintores las dependencias de la Alcaldía y del Colegio San Juan Nepomuceno del municipio de Vetas Santander</t>
  </si>
  <si>
    <t>Dotación de equipos de cómputo para las dependencias de la Alcaldía Municipal de Vetas Santander</t>
  </si>
  <si>
    <t>Difusión de una campaña de promoción del municipio de Vetas Santander</t>
  </si>
  <si>
    <t xml:space="preserve">Apoyo al colegio San Juan Nepomuceno del municipio de Vetas Santander para el transporte a la ciudad de Bucaramanga de los estudiantes grado décimo y undécimo para la participación de una convicencia dentro del proyecto"FORTALECIMIENTO DE LOS LAZOS DE COMUNICACIÓN Y PROYECTO DE VIDA DE LA COMUNIDAD EDUCATIVA DE VETAS" </t>
  </si>
  <si>
    <t>Apoyo  artístico y cultural en el marco de la celebración del día del niño del municipio de Vetas Santander</t>
  </si>
  <si>
    <t>Apoyo logístico y operativo en los programas deportivos y recreativos del municipio de Vetas Santander</t>
  </si>
  <si>
    <t>Apoyo logístico para la socialización del plan de desarrollo 2012-2015 del municipio de Vetas Santander</t>
  </si>
  <si>
    <t>Asistencia para la atención al régimen subsidiado, sisbén y población en situación de discapacidad del municipio de Vetas Santander</t>
  </si>
  <si>
    <t>Asistencia para coordinar el plan de salud pública en el municipio de Vetas Santander</t>
  </si>
  <si>
    <t>Apoyo al encuentro anual de talentos de adultos mayores del municipio de Vetas Santander</t>
  </si>
  <si>
    <t>Asistencia para la promoción de eventos artísticos y culturales del municipio de Vetas Santander</t>
  </si>
  <si>
    <t>Asesoría para la revisión y actualización del código de rentas del municipio de Vetas Santander</t>
  </si>
  <si>
    <t>Proyecto para la asesoría contable que garantice la eficiencia financiera del municipio de Vetas Santander</t>
  </si>
  <si>
    <t>Asesoria y capacitación en salud ocupacional y seguridad industrial para la Alcaldía municipal de Vetas Santander</t>
  </si>
  <si>
    <t>Apoyo a grupos musicales y banda infantil en el municipio de Vetas Santander</t>
  </si>
  <si>
    <t xml:space="preserve"> Adecuación y mantenimiento de la cancha del municipio de Vetas Santander</t>
  </si>
  <si>
    <t>Adquisición de servicios para el normal desarrollo de las actividades de la alcaldía y del concejo municipal de Vetas Santander</t>
  </si>
  <si>
    <t>Adquisición de servicios para el normal desarrollo de las actividades de la alcaldía del municipio de Vetas Santander</t>
  </si>
  <si>
    <t>Adquisición de insumos para el normal desarrollo de las actividades propias de la Alcaldía del municipio de Vetas Santander</t>
  </si>
  <si>
    <t>Valor Programado para la vigencia (2013)</t>
  </si>
  <si>
    <t>Valor ejecutado en la vigencia (2013)</t>
  </si>
  <si>
    <t>RECURSOS POR  FUENTE DE FINANCIACION  PARA CADA VIGENCIA  2013</t>
  </si>
  <si>
    <t>,</t>
  </si>
  <si>
    <t>ESTRATEGIAS/ACTIVIDADES</t>
  </si>
  <si>
    <t>FECHA DE TERMINACION DE LA ACTIVIDAD</t>
  </si>
  <si>
    <t>Dotación de material  didactico al colegio  del municipio de Vetas</t>
  </si>
  <si>
    <t>Gestión de recursos para lograr dotar los laboratorios de física, química y biología del colegio municipal</t>
  </si>
  <si>
    <t>Gestión de recursos para lograrel mantenimiento   e infraestructura del colegio municipal</t>
  </si>
  <si>
    <t>Giro de recursos directamente a la ESE</t>
  </si>
  <si>
    <t>Contratación de servicios de apoyo a la gestión</t>
  </si>
  <si>
    <t>Convenio ESE</t>
  </si>
  <si>
    <t>Contratación de servicios profesionales</t>
  </si>
  <si>
    <t>Contratación de servicios profesionales para coordinar el plan de salud pública  y de intervenciones en el municipio</t>
  </si>
  <si>
    <t>convenio ESE</t>
  </si>
  <si>
    <t>contratación de servicios para capacitación en joyería a estudiantes de los grados 10 y 11 del colegio San Juan Nepomuceno del municipio de Vetas</t>
  </si>
  <si>
    <t>Contratación de servicios de apoyo a la gestión para la atención a estas familias vulnerables</t>
  </si>
  <si>
    <t>Gestionar recursos ante el Departamento de Santander</t>
  </si>
  <si>
    <t>contratación de apoyo a la gestión</t>
  </si>
  <si>
    <t>Contratación de servicios para el apoyo logístico en actividades recreo-deportivos y organización de las mismas</t>
  </si>
  <si>
    <t xml:space="preserve"> Prestar el servicio de apoyo logístico en la convocatoria, transporte, adquisición de escenarios deportivos, arbitraje y realización de un campeonato relámpago para la comundiad vetana en la ciudad de Bucaramanga</t>
  </si>
  <si>
    <t xml:space="preserve">Contratación del suministro de bombillas </t>
  </si>
  <si>
    <t>Contratación del servicio</t>
  </si>
  <si>
    <t>Prestación de servicios para la recolección, tratamiento y disposición final de residuos sólidos</t>
  </si>
  <si>
    <t>Prestación del servicio de transporte</t>
  </si>
  <si>
    <t>Mantenimiento del vehículo recolector de residuos sólidos</t>
  </si>
  <si>
    <t>Contratación del servicio con una persona natural</t>
  </si>
  <si>
    <t>Contratación de servicios profesionales para la formulación del plan de desarrollo y sus anexos</t>
  </si>
  <si>
    <t>Contratación de refrigerios y almuerzos para el proceso de construcción colectiva del Plan de Desarrollo 2012-2015</t>
  </si>
  <si>
    <t>Contratación de apoyo a la gestión</t>
  </si>
  <si>
    <t>prestacion de servicios profesionales asistente en la actualizacion ,mantenimiento y soporte integral del software  transfor´s compuestos por los modulos de administracion, contabilidad y presupuesto junto con los informes  a la contraloria, contaduria, nomina, punto de caja y soporte seg a traves dell soporte telefonico y soporte virtual instalado en la entidad .</t>
  </si>
  <si>
    <t>Contratación de los servicios de un abogado</t>
  </si>
  <si>
    <t>Prestaciónde servicios profesionales para apoyar la gestión jurídica de contratación estatal a nivel externo en el municipio.</t>
  </si>
  <si>
    <t>Adquisición de extintores</t>
  </si>
  <si>
    <t>Adquisición de equipos de cómputo</t>
  </si>
  <si>
    <t>servicios de espacios publicitarios</t>
  </si>
  <si>
    <t xml:space="preserve">Prestación del servicio </t>
  </si>
  <si>
    <t>Gestionar la consecución de recursos a nivel departamental para la revisión y actualización del EOT</t>
  </si>
  <si>
    <t>Redacción y actualización del nuevo código de rentas a través de la contración de servicios profesionales</t>
  </si>
  <si>
    <t>Contratación de servicios profesionales de una contadora</t>
  </si>
  <si>
    <t>Contratacion de servicios para la entrega a estudiantes  en nivel  tecnico, tecnologico y pregrado incentivos educativos</t>
  </si>
  <si>
    <t xml:space="preserve">contratacion de profesional  para la orientacion  en estos temas </t>
  </si>
  <si>
    <t>contratar servicios  para  realizar las actividaes  ludicas con adultos mayores en el municipio</t>
  </si>
  <si>
    <t xml:space="preserve">Realiar convenio para  la ejecucion de los progrmas  de bienenstar con los adultos mayores del municipio </t>
  </si>
  <si>
    <t xml:space="preserve">contratar  servicios para realizar actividades tipo culural en el mpio </t>
  </si>
  <si>
    <t xml:space="preserve">contratar  la dotacion para la casa de la cultura </t>
  </si>
  <si>
    <t>contratacion  de obras publicas  para el fortalecimento de  ls vias  municipales</t>
  </si>
  <si>
    <t>Contratación  en extender la red electrica</t>
  </si>
  <si>
    <t xml:space="preserve">gestionar un proyecto para la contruccion y reubiccion de vivienda de interes socal y rural </t>
  </si>
  <si>
    <t>contrata la obra  para  instalacion de un parque infantil en elmpio</t>
  </si>
  <si>
    <t xml:space="preserve">gestinar  proyecto para la contruccion de salones comunales </t>
  </si>
  <si>
    <t xml:space="preserve">contratacion obra para el mantenimiento </t>
  </si>
  <si>
    <t>apoyo a la gestion  en el formtaleicineto de la oficina umata con insumos y materiales para  los proyectos rurales</t>
  </si>
  <si>
    <t>apoyo a la gestion n contratacion de personal  idoneo para  realizar esta actividad</t>
  </si>
  <si>
    <t xml:space="preserve">apoyo a la  gestion  con profesional  que realice las orientaciones  sobre este tema </t>
  </si>
  <si>
    <t xml:space="preserve">elaborar el plan de ecoturismo  con personal idoneo </t>
  </si>
  <si>
    <t xml:space="preserve">secretaria de planeacion </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</si>
</sst>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 _€_-;\-* #,##0.00\ _€_-;_-* &quot;-&quot;??\ _€_-;_-@_-"/>
    <numFmt numFmtId="165" formatCode="_-* #,##0\ _€_-;\-* #,##0\ _€_-;_-* &quot;-&quot;??\ _€_-;_-@_-"/>
    <numFmt numFmtId="166" formatCode="0.0%"/>
    <numFmt numFmtId="167" formatCode="&quot;$&quot;#,##0"/>
  </numFmts>
  <fonts count="70">
    <font>
      <sz val="11"/>
      <color theme="1"/>
      <name val="Calibri"/>
      <family val="2"/>
    </font>
    <font>
      <sz val="11"/>
      <color indexed="8"/>
      <name val="Calibri"/>
      <family val="2"/>
    </font>
    <font>
      <b/>
      <sz val="10"/>
      <color indexed="8"/>
      <name val="Arial"/>
      <family val="2"/>
    </font>
    <font>
      <b/>
      <sz val="8"/>
      <color indexed="8"/>
      <name val="Arial"/>
      <family val="2"/>
    </font>
    <font>
      <sz val="8"/>
      <color indexed="8"/>
      <name val="Arial"/>
      <family val="2"/>
    </font>
    <font>
      <b/>
      <sz val="11"/>
      <color indexed="8"/>
      <name val="Calibri"/>
      <family val="2"/>
    </font>
    <font>
      <b/>
      <sz val="11"/>
      <color indexed="8"/>
      <name val="Arial"/>
      <family val="2"/>
    </font>
    <font>
      <sz val="9"/>
      <name val="Tahoma"/>
      <family val="2"/>
    </font>
    <font>
      <b/>
      <sz val="9"/>
      <name val="Tahoma"/>
      <family val="2"/>
    </font>
    <font>
      <sz val="9"/>
      <color indexed="8"/>
      <name val="Calibri"/>
      <family val="2"/>
    </font>
    <font>
      <b/>
      <sz val="9"/>
      <color indexed="8"/>
      <name val="Calibri"/>
      <family val="2"/>
    </font>
    <font>
      <sz val="9"/>
      <color indexed="8"/>
      <name val="Arial"/>
      <family val="2"/>
    </font>
    <font>
      <sz val="9"/>
      <name val="Arial"/>
      <family val="2"/>
    </font>
    <font>
      <b/>
      <sz val="9"/>
      <color indexed="8"/>
      <name val="Arial"/>
      <family val="2"/>
    </font>
    <font>
      <b/>
      <sz val="9"/>
      <name val="Arial"/>
      <family val="2"/>
    </font>
    <font>
      <sz val="9"/>
      <color indexed="36"/>
      <name val="Arial"/>
      <family val="2"/>
    </font>
    <font>
      <sz val="10"/>
      <name val="Arial"/>
      <family val="2"/>
    </font>
    <font>
      <b/>
      <sz val="8"/>
      <name val="Arial"/>
      <family val="2"/>
    </font>
    <font>
      <sz val="8"/>
      <color indexed="8"/>
      <name val="Calibri"/>
      <family val="2"/>
    </font>
    <font>
      <sz val="10"/>
      <name val="MS Sans Serif"/>
      <family val="2"/>
    </font>
    <font>
      <sz val="9"/>
      <color indexed="63"/>
      <name val="Arial"/>
      <family val="2"/>
    </font>
    <font>
      <sz val="8"/>
      <name val="Tahoma"/>
      <family val="2"/>
    </font>
    <font>
      <b/>
      <sz val="8"/>
      <name val="Tahoma"/>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8"/>
      <color rgb="FF000000"/>
      <name val="Arial"/>
      <family val="2"/>
    </font>
    <font>
      <b/>
      <sz val="11"/>
      <color rgb="FF000000"/>
      <name val="Arial"/>
      <family val="2"/>
    </font>
    <font>
      <b/>
      <sz val="9"/>
      <color rgb="FF000000"/>
      <name val="Arial"/>
      <family val="2"/>
    </font>
    <font>
      <sz val="9"/>
      <color rgb="FF000000"/>
      <name val="Arial"/>
      <family val="2"/>
    </font>
    <font>
      <b/>
      <sz val="9"/>
      <color theme="1"/>
      <name val="Calibri"/>
      <family val="2"/>
    </font>
    <font>
      <sz val="9"/>
      <color theme="7" tint="0.39998000860214233"/>
      <name val="Arial"/>
      <family val="2"/>
    </font>
    <font>
      <sz val="9"/>
      <color theme="1"/>
      <name val="Calibri"/>
      <family val="2"/>
    </font>
    <font>
      <sz val="9"/>
      <color theme="1"/>
      <name val="Arial"/>
      <family val="2"/>
    </font>
    <font>
      <b/>
      <sz val="9"/>
      <color theme="1"/>
      <name val="Arial"/>
      <family val="2"/>
    </font>
    <font>
      <sz val="8"/>
      <color theme="1"/>
      <name val="Calibri"/>
      <family val="2"/>
    </font>
    <font>
      <b/>
      <sz val="11"/>
      <color theme="1"/>
      <name val="Arial"/>
      <family val="2"/>
    </font>
    <font>
      <sz val="9"/>
      <color rgb="FF2A2A2A"/>
      <name val="Arial"/>
      <family val="2"/>
    </font>
    <font>
      <b/>
      <sz val="10"/>
      <color theme="1"/>
      <name val="Arial"/>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4D79B"/>
        <bgColor indexed="64"/>
      </patternFill>
    </fill>
    <fill>
      <patternFill patternType="solid">
        <fgColor rgb="FFC3D69B"/>
        <bgColor indexed="64"/>
      </patternFill>
    </fill>
    <fill>
      <patternFill patternType="solid">
        <fgColor theme="0"/>
        <bgColor indexed="64"/>
      </patternFill>
    </fill>
    <fill>
      <patternFill patternType="solid">
        <fgColor theme="2" tint="-0.09994000196456909"/>
        <bgColor indexed="64"/>
      </patternFill>
    </fill>
    <fill>
      <patternFill patternType="solid">
        <fgColor theme="2"/>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rgb="FF92D050"/>
        <bgColor indexed="64"/>
      </patternFill>
    </fill>
    <fill>
      <patternFill patternType="solid">
        <fgColor rgb="FFF4FED2"/>
        <bgColor indexed="64"/>
      </patternFill>
    </fill>
    <fill>
      <patternFill patternType="solid">
        <fgColor rgb="FF8FCE4A"/>
        <bgColor indexed="64"/>
      </patternFill>
    </fill>
    <fill>
      <patternFill patternType="solid">
        <fgColor rgb="FFFFFF00"/>
        <bgColor indexed="64"/>
      </patternFill>
    </fill>
    <fill>
      <patternFill patternType="solid">
        <fgColor rgb="FFFF99FF"/>
        <bgColor indexed="64"/>
      </patternFill>
    </fill>
    <fill>
      <patternFill patternType="solid">
        <fgColor theme="2" tint="-0.09996999800205231"/>
        <bgColor indexed="64"/>
      </patternFill>
    </fill>
    <fill>
      <patternFill patternType="solid">
        <fgColor rgb="FFFFC000"/>
        <bgColor indexed="64"/>
      </patternFill>
    </fill>
    <fill>
      <patternFill patternType="solid">
        <fgColor theme="8" tint="-0.24997000396251678"/>
        <bgColor indexed="64"/>
      </patternFill>
    </fill>
    <fill>
      <patternFill patternType="solid">
        <fgColor rgb="FF00B050"/>
        <bgColor indexed="64"/>
      </patternFill>
    </fill>
    <fill>
      <patternFill patternType="solid">
        <fgColor rgb="FFCCCC00"/>
        <bgColor indexed="64"/>
      </patternFill>
    </fill>
    <fill>
      <patternFill patternType="solid">
        <fgColor theme="3" tint="0.39998000860214233"/>
        <bgColor indexed="64"/>
      </patternFill>
    </fill>
    <fill>
      <patternFill patternType="solid">
        <fgColor theme="2" tint="-0.24997000396251678"/>
        <bgColor indexed="64"/>
      </patternFill>
    </fill>
    <fill>
      <patternFill patternType="solid">
        <fgColor theme="9" tint="-0.24997000396251678"/>
        <bgColor indexed="64"/>
      </patternFill>
    </fill>
    <fill>
      <patternFill patternType="solid">
        <fgColor theme="8" tint="-0.4999699890613556"/>
        <bgColor indexed="64"/>
      </patternFill>
    </fill>
    <fill>
      <patternFill patternType="solid">
        <fgColor rgb="FFFF6600"/>
        <bgColor indexed="64"/>
      </patternFill>
    </fill>
    <fill>
      <patternFill patternType="solid">
        <fgColor theme="7" tint="-0.4999699890613556"/>
        <bgColor indexed="64"/>
      </patternFill>
    </fill>
    <fill>
      <patternFill patternType="solid">
        <fgColor rgb="FFFF0000"/>
        <bgColor indexed="64"/>
      </patternFill>
    </fill>
    <fill>
      <patternFill patternType="solid">
        <fgColor rgb="FFE6B9B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style="medium"/>
    </border>
    <border>
      <left/>
      <right style="medium"/>
      <top/>
      <bottom style="medium"/>
    </border>
    <border>
      <left style="medium"/>
      <right style="medium"/>
      <top style="medium"/>
      <bottom/>
    </border>
    <border>
      <left style="thin"/>
      <right style="thin"/>
      <top style="thin"/>
      <bottom style="thin"/>
    </border>
    <border>
      <left/>
      <right/>
      <top style="medium"/>
      <bottom style="medium"/>
    </border>
    <border>
      <left style="medium"/>
      <right/>
      <top style="medium"/>
      <bottom/>
    </border>
    <border>
      <left/>
      <right/>
      <top style="medium"/>
      <bottom/>
    </border>
    <border>
      <left/>
      <right style="thin"/>
      <top style="medium"/>
      <bottom/>
    </border>
    <border>
      <left style="medium">
        <color rgb="FF000000"/>
      </left>
      <right/>
      <top style="medium"/>
      <bottom/>
    </border>
    <border>
      <left style="thin"/>
      <right style="thin"/>
      <top style="medium"/>
      <bottom/>
    </border>
    <border>
      <left style="thin"/>
      <right style="medium"/>
      <top style="medium"/>
      <bottom/>
    </border>
    <border>
      <left style="thin"/>
      <right style="thin"/>
      <top style="thin"/>
      <bottom/>
    </border>
    <border>
      <left/>
      <right style="thin"/>
      <top style="thin"/>
      <bottom style="thin"/>
    </border>
    <border>
      <left/>
      <right style="thin"/>
      <top style="thin"/>
      <bottom/>
    </border>
    <border>
      <left style="medium"/>
      <right/>
      <top style="medium"/>
      <bottom style="medium"/>
    </border>
    <border>
      <left/>
      <right style="thin"/>
      <top style="medium"/>
      <bottom style="medium"/>
    </border>
    <border>
      <left style="thin"/>
      <right style="thin"/>
      <top/>
      <bottom style="thin"/>
    </border>
    <border>
      <left/>
      <right/>
      <top/>
      <bottom style="thin"/>
    </border>
    <border>
      <left/>
      <right style="thin"/>
      <top/>
      <bottom style="thin"/>
    </border>
    <border>
      <left style="thin"/>
      <right/>
      <top style="thin"/>
      <bottom style="thin"/>
    </border>
    <border>
      <left style="medium"/>
      <right/>
      <top style="medium"/>
      <bottom style="thin"/>
    </border>
    <border>
      <left/>
      <right/>
      <top style="medium"/>
      <bottom style="thin"/>
    </border>
    <border>
      <left/>
      <right style="medium">
        <color rgb="FF000000"/>
      </right>
      <top style="medium"/>
      <bottom style="thin"/>
    </border>
    <border>
      <left style="thin"/>
      <right style="thin"/>
      <top/>
      <bottom/>
    </border>
    <border>
      <left/>
      <right/>
      <top style="thin"/>
      <bottom style="thin"/>
    </border>
    <border>
      <left/>
      <right style="medium"/>
      <top style="medium"/>
      <bottom style="medium"/>
    </border>
    <border>
      <left/>
      <right style="medium">
        <color rgb="FF000000"/>
      </right>
      <top style="medium"/>
      <bottom style="medium"/>
    </border>
    <border>
      <left style="medium">
        <color rgb="FF000000"/>
      </left>
      <right/>
      <top style="medium"/>
      <bottom style="medium"/>
    </border>
    <border>
      <left style="medium"/>
      <right style="medium"/>
      <top/>
      <bottom/>
    </border>
    <border>
      <left style="medium"/>
      <right style="medium"/>
      <top/>
      <bottom style="medium">
        <color rgb="FF000000"/>
      </bottom>
    </border>
    <border>
      <left style="thin"/>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0"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16" fillId="0" borderId="0">
      <alignment/>
      <protection/>
    </xf>
    <xf numFmtId="0" fontId="19" fillId="0" borderId="0">
      <alignment/>
      <protection/>
    </xf>
    <xf numFmtId="0" fontId="16" fillId="0" borderId="0">
      <alignment/>
      <protection/>
    </xf>
    <xf numFmtId="0" fontId="19"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613">
    <xf numFmtId="0" fontId="0" fillId="0" borderId="0" xfId="0" applyFont="1" applyAlignment="1">
      <alignment/>
    </xf>
    <xf numFmtId="0" fontId="55" fillId="0" borderId="10" xfId="0" applyFont="1" applyBorder="1" applyAlignment="1">
      <alignment horizontal="center"/>
    </xf>
    <xf numFmtId="0" fontId="55" fillId="0" borderId="10" xfId="0" applyFont="1" applyBorder="1" applyAlignment="1">
      <alignment horizontal="center" wrapText="1"/>
    </xf>
    <xf numFmtId="0" fontId="55" fillId="0" borderId="11" xfId="0" applyFont="1" applyBorder="1" applyAlignment="1">
      <alignment horizontal="center" wrapText="1"/>
    </xf>
    <xf numFmtId="0" fontId="55" fillId="33" borderId="11" xfId="0" applyFont="1" applyFill="1" applyBorder="1" applyAlignment="1">
      <alignment wrapText="1"/>
    </xf>
    <xf numFmtId="0" fontId="56" fillId="33" borderId="11" xfId="0" applyFont="1" applyFill="1" applyBorder="1" applyAlignment="1">
      <alignment/>
    </xf>
    <xf numFmtId="0" fontId="55" fillId="34" borderId="10" xfId="0" applyFont="1" applyFill="1" applyBorder="1" applyAlignment="1">
      <alignment wrapText="1"/>
    </xf>
    <xf numFmtId="0" fontId="55" fillId="34" borderId="11" xfId="0" applyFont="1" applyFill="1" applyBorder="1" applyAlignment="1">
      <alignment wrapText="1"/>
    </xf>
    <xf numFmtId="165" fontId="0" fillId="0" borderId="0" xfId="46" applyNumberFormat="1" applyFont="1" applyAlignment="1">
      <alignment/>
    </xf>
    <xf numFmtId="165" fontId="54" fillId="0" borderId="0" xfId="46" applyNumberFormat="1" applyFont="1" applyAlignment="1">
      <alignment/>
    </xf>
    <xf numFmtId="165" fontId="54" fillId="35" borderId="0" xfId="46" applyNumberFormat="1" applyFont="1" applyFill="1" applyAlignment="1">
      <alignment/>
    </xf>
    <xf numFmtId="165" fontId="0" fillId="35" borderId="0" xfId="46" applyNumberFormat="1" applyFont="1" applyFill="1" applyAlignment="1">
      <alignment/>
    </xf>
    <xf numFmtId="165" fontId="0" fillId="35" borderId="0" xfId="46" applyNumberFormat="1" applyFont="1" applyFill="1" applyBorder="1" applyAlignment="1">
      <alignment/>
    </xf>
    <xf numFmtId="165" fontId="0" fillId="0" borderId="0" xfId="46" applyNumberFormat="1" applyFont="1" applyAlignment="1">
      <alignment horizontal="left"/>
    </xf>
    <xf numFmtId="165" fontId="0" fillId="36" borderId="0" xfId="46" applyNumberFormat="1" applyFont="1" applyFill="1" applyBorder="1" applyAlignment="1">
      <alignment/>
    </xf>
    <xf numFmtId="165" fontId="0" fillId="37" borderId="0" xfId="46" applyNumberFormat="1" applyFont="1" applyFill="1" applyBorder="1" applyAlignment="1">
      <alignment/>
    </xf>
    <xf numFmtId="165" fontId="54" fillId="38" borderId="0" xfId="46" applyNumberFormat="1" applyFont="1" applyFill="1" applyAlignment="1">
      <alignment/>
    </xf>
    <xf numFmtId="165" fontId="57" fillId="0" borderId="12" xfId="46" applyNumberFormat="1" applyFont="1" applyBorder="1" applyAlignment="1">
      <alignment horizontal="center"/>
    </xf>
    <xf numFmtId="165" fontId="55" fillId="39" borderId="13" xfId="46" applyNumberFormat="1" applyFont="1" applyFill="1" applyBorder="1" applyAlignment="1">
      <alignment wrapText="1"/>
    </xf>
    <xf numFmtId="165" fontId="55" fillId="39" borderId="13" xfId="48" applyNumberFormat="1" applyFont="1" applyFill="1" applyBorder="1" applyAlignment="1">
      <alignment vertical="center" wrapText="1"/>
    </xf>
    <xf numFmtId="165" fontId="0" fillId="0" borderId="0" xfId="0" applyNumberFormat="1" applyAlignment="1">
      <alignment/>
    </xf>
    <xf numFmtId="165" fontId="0" fillId="35" borderId="14" xfId="46" applyNumberFormat="1" applyFont="1" applyFill="1" applyBorder="1" applyAlignment="1">
      <alignment vertical="center"/>
    </xf>
    <xf numFmtId="3" fontId="57" fillId="0" borderId="15" xfId="46" applyNumberFormat="1" applyFont="1" applyBorder="1" applyAlignment="1">
      <alignment horizontal="center" vertical="center" wrapText="1"/>
    </xf>
    <xf numFmtId="3" fontId="57" fillId="0" borderId="16" xfId="46" applyNumberFormat="1" applyFont="1" applyBorder="1" applyAlignment="1">
      <alignment horizontal="center" vertical="center" wrapText="1"/>
    </xf>
    <xf numFmtId="3" fontId="57" fillId="0" borderId="17" xfId="46" applyNumberFormat="1" applyFont="1" applyBorder="1" applyAlignment="1">
      <alignment horizontal="center" vertical="center" wrapText="1"/>
    </xf>
    <xf numFmtId="3" fontId="57" fillId="0" borderId="18" xfId="46" applyNumberFormat="1" applyFont="1" applyBorder="1" applyAlignment="1">
      <alignment horizontal="center" vertical="center" wrapText="1"/>
    </xf>
    <xf numFmtId="3" fontId="57" fillId="0" borderId="19" xfId="46" applyNumberFormat="1" applyFont="1" applyBorder="1" applyAlignment="1">
      <alignment horizontal="center" vertical="center" wrapText="1"/>
    </xf>
    <xf numFmtId="3" fontId="57" fillId="0" borderId="20" xfId="46" applyNumberFormat="1" applyFont="1" applyBorder="1" applyAlignment="1">
      <alignment horizontal="center" vertical="center" wrapText="1"/>
    </xf>
    <xf numFmtId="3" fontId="0" fillId="0" borderId="0" xfId="46" applyNumberFormat="1" applyFont="1" applyAlignment="1">
      <alignment horizontal="center" vertical="center" wrapText="1"/>
    </xf>
    <xf numFmtId="165" fontId="58" fillId="40" borderId="13" xfId="46" applyNumberFormat="1" applyFont="1" applyFill="1" applyBorder="1" applyAlignment="1">
      <alignment horizontal="center" wrapText="1"/>
    </xf>
    <xf numFmtId="3" fontId="58" fillId="40" borderId="13" xfId="46" applyNumberFormat="1" applyFont="1" applyFill="1" applyBorder="1" applyAlignment="1">
      <alignment horizontal="center" vertical="center" wrapText="1"/>
    </xf>
    <xf numFmtId="165" fontId="58" fillId="41" borderId="13" xfId="46" applyNumberFormat="1" applyFont="1" applyFill="1" applyBorder="1" applyAlignment="1">
      <alignment horizontal="center" vertical="center" wrapText="1"/>
    </xf>
    <xf numFmtId="3" fontId="58" fillId="41" borderId="13" xfId="46" applyNumberFormat="1" applyFont="1" applyFill="1" applyBorder="1" applyAlignment="1">
      <alignment horizontal="center" vertical="center" wrapText="1"/>
    </xf>
    <xf numFmtId="3" fontId="59" fillId="41" borderId="13" xfId="46" applyNumberFormat="1" applyFont="1" applyFill="1" applyBorder="1" applyAlignment="1">
      <alignment horizontal="center" vertical="center" wrapText="1"/>
    </xf>
    <xf numFmtId="3" fontId="14" fillId="41" borderId="13" xfId="46" applyNumberFormat="1" applyFont="1" applyFill="1" applyBorder="1" applyAlignment="1">
      <alignment horizontal="center" vertical="center" wrapText="1"/>
    </xf>
    <xf numFmtId="3" fontId="60" fillId="41" borderId="13" xfId="46" applyNumberFormat="1" applyFont="1" applyFill="1" applyBorder="1" applyAlignment="1">
      <alignment horizontal="center" vertical="center" wrapText="1"/>
    </xf>
    <xf numFmtId="3" fontId="61" fillId="41" borderId="13" xfId="46" applyNumberFormat="1" applyFont="1" applyFill="1" applyBorder="1" applyAlignment="1">
      <alignment horizontal="center" vertical="center" wrapText="1"/>
    </xf>
    <xf numFmtId="3" fontId="12" fillId="41" borderId="13" xfId="46" applyNumberFormat="1" applyFont="1" applyFill="1" applyBorder="1" applyAlignment="1">
      <alignment horizontal="center" vertical="center" wrapText="1"/>
    </xf>
    <xf numFmtId="165" fontId="59" fillId="0" borderId="13" xfId="46" applyNumberFormat="1" applyFont="1" applyFill="1" applyBorder="1" applyAlignment="1">
      <alignment horizontal="left" wrapText="1"/>
    </xf>
    <xf numFmtId="3" fontId="59" fillId="0" borderId="13" xfId="46" applyNumberFormat="1" applyFont="1" applyFill="1" applyBorder="1" applyAlignment="1">
      <alignment horizontal="center" vertical="center" wrapText="1"/>
    </xf>
    <xf numFmtId="3" fontId="62" fillId="0" borderId="13" xfId="46" applyNumberFormat="1" applyFont="1" applyFill="1" applyBorder="1" applyAlignment="1">
      <alignment horizontal="center" vertical="center" wrapText="1"/>
    </xf>
    <xf numFmtId="165" fontId="0" fillId="0" borderId="0" xfId="46" applyNumberFormat="1" applyFont="1" applyFill="1" applyAlignment="1">
      <alignment/>
    </xf>
    <xf numFmtId="3" fontId="58" fillId="0" borderId="13" xfId="46" applyNumberFormat="1" applyFont="1" applyFill="1" applyBorder="1" applyAlignment="1">
      <alignment horizontal="center" vertical="center" wrapText="1"/>
    </xf>
    <xf numFmtId="0" fontId="59" fillId="0" borderId="13" xfId="46" applyNumberFormat="1" applyFont="1" applyFill="1" applyBorder="1" applyAlignment="1">
      <alignment horizontal="left" wrapText="1"/>
    </xf>
    <xf numFmtId="0" fontId="58" fillId="41" borderId="13" xfId="46" applyNumberFormat="1" applyFont="1" applyFill="1" applyBorder="1" applyAlignment="1">
      <alignment horizontal="center" vertical="center" wrapText="1"/>
    </xf>
    <xf numFmtId="165" fontId="59" fillId="0" borderId="13" xfId="46" applyNumberFormat="1" applyFont="1" applyFill="1" applyBorder="1" applyAlignment="1">
      <alignment horizontal="left" vertical="center" wrapText="1"/>
    </xf>
    <xf numFmtId="3" fontId="61" fillId="0" borderId="13" xfId="46" applyNumberFormat="1" applyFont="1" applyFill="1" applyBorder="1" applyAlignment="1">
      <alignment horizontal="center" vertical="center" wrapText="1"/>
    </xf>
    <xf numFmtId="3" fontId="12" fillId="0" borderId="13" xfId="46" applyNumberFormat="1" applyFont="1" applyFill="1" applyBorder="1" applyAlignment="1">
      <alignment horizontal="center" vertical="center" wrapText="1"/>
    </xf>
    <xf numFmtId="3" fontId="63" fillId="0" borderId="13" xfId="46" applyNumberFormat="1" applyFont="1" applyFill="1" applyBorder="1" applyAlignment="1">
      <alignment horizontal="center" vertical="center" wrapText="1"/>
    </xf>
    <xf numFmtId="165" fontId="0" fillId="0" borderId="0" xfId="46" applyNumberFormat="1" applyFont="1" applyFill="1" applyBorder="1" applyAlignment="1">
      <alignment/>
    </xf>
    <xf numFmtId="0" fontId="59" fillId="0" borderId="13" xfId="46" applyNumberFormat="1" applyFont="1" applyFill="1" applyBorder="1" applyAlignment="1">
      <alignment horizontal="left" vertical="center" wrapText="1"/>
    </xf>
    <xf numFmtId="3" fontId="58" fillId="42" borderId="13" xfId="46" applyNumberFormat="1" applyFont="1" applyFill="1" applyBorder="1" applyAlignment="1">
      <alignment horizontal="center" vertical="center" wrapText="1"/>
    </xf>
    <xf numFmtId="3" fontId="64" fillId="42" borderId="13" xfId="0" applyNumberFormat="1" applyFont="1" applyFill="1" applyBorder="1" applyAlignment="1">
      <alignment horizontal="center" vertical="center" wrapText="1"/>
    </xf>
    <xf numFmtId="3" fontId="58" fillId="42" borderId="13" xfId="48" applyNumberFormat="1" applyFont="1" applyFill="1" applyBorder="1" applyAlignment="1">
      <alignment horizontal="center" vertical="center" wrapText="1"/>
    </xf>
    <xf numFmtId="3" fontId="64" fillId="42" borderId="21" xfId="0" applyNumberFormat="1" applyFont="1" applyFill="1" applyBorder="1" applyAlignment="1">
      <alignment horizontal="center" vertical="center" wrapText="1"/>
    </xf>
    <xf numFmtId="3" fontId="60" fillId="42" borderId="13" xfId="46" applyNumberFormat="1" applyFont="1" applyFill="1" applyBorder="1" applyAlignment="1">
      <alignment horizontal="center" vertical="center" wrapText="1"/>
    </xf>
    <xf numFmtId="165" fontId="55" fillId="42" borderId="13" xfId="48" applyNumberFormat="1" applyFont="1" applyFill="1" applyBorder="1" applyAlignment="1">
      <alignment horizontal="center" vertical="center" wrapText="1"/>
    </xf>
    <xf numFmtId="3" fontId="14" fillId="42" borderId="13" xfId="48" applyNumberFormat="1" applyFont="1" applyFill="1" applyBorder="1" applyAlignment="1">
      <alignment horizontal="center" vertical="center" wrapText="1"/>
    </xf>
    <xf numFmtId="3" fontId="64" fillId="42" borderId="0" xfId="0" applyNumberFormat="1" applyFont="1" applyFill="1" applyAlignment="1">
      <alignment horizontal="center" vertical="center" wrapText="1"/>
    </xf>
    <xf numFmtId="165" fontId="60" fillId="42" borderId="13" xfId="46" applyNumberFormat="1" applyFont="1" applyFill="1" applyBorder="1" applyAlignment="1">
      <alignment horizontal="center" vertical="center" wrapText="1"/>
    </xf>
    <xf numFmtId="3" fontId="60" fillId="0" borderId="13" xfId="0" applyNumberFormat="1" applyFont="1" applyFill="1" applyBorder="1" applyAlignment="1">
      <alignment horizontal="center" vertical="center" wrapText="1"/>
    </xf>
    <xf numFmtId="3" fontId="64" fillId="0" borderId="13" xfId="0" applyNumberFormat="1" applyFont="1" applyFill="1" applyBorder="1" applyAlignment="1">
      <alignment horizontal="center" vertical="center" wrapText="1"/>
    </xf>
    <xf numFmtId="3" fontId="58" fillId="0" borderId="13" xfId="48" applyNumberFormat="1" applyFont="1" applyFill="1" applyBorder="1" applyAlignment="1">
      <alignment horizontal="center" vertical="center" wrapText="1"/>
    </xf>
    <xf numFmtId="165" fontId="58" fillId="41" borderId="13" xfId="46" applyNumberFormat="1" applyFont="1" applyFill="1" applyBorder="1" applyAlignment="1">
      <alignment horizontal="center" wrapText="1"/>
    </xf>
    <xf numFmtId="165" fontId="14" fillId="41" borderId="13" xfId="46" applyNumberFormat="1" applyFont="1" applyFill="1" applyBorder="1" applyAlignment="1">
      <alignment horizontal="center" vertical="center" wrapText="1"/>
    </xf>
    <xf numFmtId="165" fontId="58" fillId="42" borderId="22" xfId="46" applyNumberFormat="1" applyFont="1" applyFill="1" applyBorder="1" applyAlignment="1">
      <alignment horizontal="center" vertical="center" wrapText="1"/>
    </xf>
    <xf numFmtId="165" fontId="60" fillId="42" borderId="22" xfId="46" applyNumberFormat="1" applyFont="1" applyFill="1" applyBorder="1" applyAlignment="1">
      <alignment horizontal="center"/>
    </xf>
    <xf numFmtId="165" fontId="60" fillId="42" borderId="22" xfId="46" applyNumberFormat="1" applyFont="1" applyFill="1" applyBorder="1" applyAlignment="1">
      <alignment horizontal="center" vertical="center"/>
    </xf>
    <xf numFmtId="165" fontId="58" fillId="35" borderId="22" xfId="46" applyNumberFormat="1" applyFont="1" applyFill="1" applyBorder="1" applyAlignment="1">
      <alignment horizontal="center" vertical="center" wrapText="1"/>
    </xf>
    <xf numFmtId="165" fontId="60" fillId="42" borderId="22" xfId="46" applyNumberFormat="1" applyFont="1" applyFill="1" applyBorder="1" applyAlignment="1">
      <alignment horizontal="center" vertical="center" wrapText="1"/>
    </xf>
    <xf numFmtId="0" fontId="17" fillId="7" borderId="13" xfId="54" applyFont="1" applyFill="1" applyBorder="1" applyAlignment="1">
      <alignment horizontal="center" vertical="center" wrapText="1"/>
      <protection/>
    </xf>
    <xf numFmtId="0" fontId="17" fillId="7" borderId="13" xfId="54" applyFont="1" applyFill="1" applyBorder="1" applyAlignment="1">
      <alignment horizontal="center" vertical="center"/>
      <protection/>
    </xf>
    <xf numFmtId="3" fontId="17" fillId="7" borderId="13" xfId="54" applyNumberFormat="1" applyFont="1" applyFill="1" applyBorder="1" applyAlignment="1">
      <alignment horizontal="center" vertical="center"/>
      <protection/>
    </xf>
    <xf numFmtId="165" fontId="0" fillId="35" borderId="16" xfId="46" applyNumberFormat="1" applyFont="1" applyFill="1" applyBorder="1" applyAlignment="1">
      <alignment vertical="center"/>
    </xf>
    <xf numFmtId="165" fontId="0" fillId="0" borderId="13" xfId="46" applyNumberFormat="1" applyFont="1" applyBorder="1" applyAlignment="1">
      <alignment/>
    </xf>
    <xf numFmtId="165" fontId="0" fillId="0" borderId="13" xfId="46" applyNumberFormat="1" applyFont="1" applyFill="1" applyBorder="1" applyAlignment="1">
      <alignment/>
    </xf>
    <xf numFmtId="165" fontId="0" fillId="35" borderId="13" xfId="46" applyNumberFormat="1" applyFont="1" applyFill="1" applyBorder="1" applyAlignment="1">
      <alignment/>
    </xf>
    <xf numFmtId="165" fontId="54" fillId="35" borderId="13" xfId="46" applyNumberFormat="1" applyFont="1" applyFill="1" applyBorder="1" applyAlignment="1">
      <alignment/>
    </xf>
    <xf numFmtId="165" fontId="54" fillId="38" borderId="13" xfId="46" applyNumberFormat="1" applyFont="1" applyFill="1" applyBorder="1" applyAlignment="1">
      <alignment/>
    </xf>
    <xf numFmtId="165" fontId="0" fillId="36" borderId="13" xfId="46" applyNumberFormat="1" applyFont="1" applyFill="1" applyBorder="1" applyAlignment="1">
      <alignment/>
    </xf>
    <xf numFmtId="165" fontId="0" fillId="37" borderId="13" xfId="46" applyNumberFormat="1" applyFont="1" applyFill="1" applyBorder="1" applyAlignment="1">
      <alignment/>
    </xf>
    <xf numFmtId="165" fontId="59" fillId="43" borderId="13" xfId="46" applyNumberFormat="1" applyFont="1" applyFill="1" applyBorder="1" applyAlignment="1">
      <alignment horizontal="left" wrapText="1"/>
    </xf>
    <xf numFmtId="3" fontId="59" fillId="43" borderId="13" xfId="46" applyNumberFormat="1" applyFont="1" applyFill="1" applyBorder="1" applyAlignment="1">
      <alignment horizontal="center" vertical="center" wrapText="1"/>
    </xf>
    <xf numFmtId="3" fontId="62" fillId="43" borderId="13" xfId="46" applyNumberFormat="1" applyFont="1" applyFill="1" applyBorder="1" applyAlignment="1">
      <alignment horizontal="center" vertical="center" wrapText="1"/>
    </xf>
    <xf numFmtId="165" fontId="0" fillId="43" borderId="13" xfId="46" applyNumberFormat="1" applyFont="1" applyFill="1" applyBorder="1" applyAlignment="1">
      <alignment/>
    </xf>
    <xf numFmtId="165" fontId="0" fillId="43" borderId="0" xfId="46" applyNumberFormat="1" applyFont="1" applyFill="1" applyAlignment="1">
      <alignment/>
    </xf>
    <xf numFmtId="9" fontId="0" fillId="0" borderId="13" xfId="46" applyNumberFormat="1" applyFont="1" applyFill="1" applyBorder="1" applyAlignment="1">
      <alignment/>
    </xf>
    <xf numFmtId="9" fontId="0" fillId="0" borderId="13" xfId="46" applyNumberFormat="1" applyFont="1" applyFill="1" applyBorder="1" applyAlignment="1">
      <alignment horizontal="center" vertical="center"/>
    </xf>
    <xf numFmtId="165" fontId="0" fillId="0" borderId="13" xfId="46" applyNumberFormat="1" applyFont="1" applyFill="1" applyBorder="1" applyAlignment="1">
      <alignment horizontal="center" vertical="center"/>
    </xf>
    <xf numFmtId="165" fontId="59" fillId="44" borderId="13" xfId="46" applyNumberFormat="1" applyFont="1" applyFill="1" applyBorder="1" applyAlignment="1">
      <alignment horizontal="left" wrapText="1"/>
    </xf>
    <xf numFmtId="3" fontId="59" fillId="44" borderId="13" xfId="46" applyNumberFormat="1" applyFont="1" applyFill="1" applyBorder="1" applyAlignment="1">
      <alignment horizontal="center" vertical="center" wrapText="1"/>
    </xf>
    <xf numFmtId="165" fontId="0" fillId="44" borderId="13" xfId="46" applyNumberFormat="1" applyFont="1" applyFill="1" applyBorder="1" applyAlignment="1">
      <alignment/>
    </xf>
    <xf numFmtId="9" fontId="0" fillId="35" borderId="13" xfId="46" applyNumberFormat="1" applyFont="1" applyFill="1" applyBorder="1" applyAlignment="1">
      <alignment/>
    </xf>
    <xf numFmtId="10" fontId="0" fillId="0" borderId="13" xfId="46" applyNumberFormat="1" applyFont="1" applyFill="1" applyBorder="1" applyAlignment="1">
      <alignment/>
    </xf>
    <xf numFmtId="165" fontId="54" fillId="0" borderId="13" xfId="46" applyNumberFormat="1" applyFont="1" applyBorder="1" applyAlignment="1">
      <alignment/>
    </xf>
    <xf numFmtId="165" fontId="0" fillId="0" borderId="13" xfId="46" applyNumberFormat="1" applyFont="1" applyBorder="1" applyAlignment="1">
      <alignment horizontal="left"/>
    </xf>
    <xf numFmtId="3" fontId="0" fillId="0" borderId="13" xfId="46" applyNumberFormat="1" applyFont="1" applyBorder="1" applyAlignment="1">
      <alignment horizontal="center" vertical="center" wrapText="1"/>
    </xf>
    <xf numFmtId="0" fontId="17" fillId="4" borderId="23" xfId="54" applyFont="1" applyFill="1" applyBorder="1" applyAlignment="1">
      <alignment horizontal="center" vertical="center" wrapText="1"/>
      <protection/>
    </xf>
    <xf numFmtId="0" fontId="17" fillId="4" borderId="21" xfId="54" applyFont="1" applyFill="1" applyBorder="1" applyAlignment="1">
      <alignment horizontal="center" vertical="center" wrapText="1"/>
      <protection/>
    </xf>
    <xf numFmtId="4" fontId="17" fillId="4" borderId="21" xfId="54" applyNumberFormat="1" applyFont="1" applyFill="1" applyBorder="1" applyAlignment="1">
      <alignment horizontal="center" vertical="center" wrapText="1"/>
      <protection/>
    </xf>
    <xf numFmtId="165" fontId="65" fillId="44" borderId="13" xfId="46" applyNumberFormat="1" applyFont="1" applyFill="1" applyBorder="1" applyAlignment="1">
      <alignment wrapText="1"/>
    </xf>
    <xf numFmtId="165" fontId="57" fillId="44" borderId="15" xfId="46" applyNumberFormat="1" applyFont="1" applyFill="1" applyBorder="1" applyAlignment="1">
      <alignment horizontal="left"/>
    </xf>
    <xf numFmtId="165" fontId="58" fillId="44" borderId="13" xfId="46" applyNumberFormat="1" applyFont="1" applyFill="1" applyBorder="1" applyAlignment="1">
      <alignment horizontal="center" wrapText="1"/>
    </xf>
    <xf numFmtId="165" fontId="58" fillId="42" borderId="13" xfId="46" applyNumberFormat="1" applyFont="1" applyFill="1" applyBorder="1" applyAlignment="1">
      <alignment horizontal="center" vertical="center" wrapText="1"/>
    </xf>
    <xf numFmtId="165" fontId="66" fillId="0" borderId="24" xfId="46" applyNumberFormat="1" applyFont="1" applyBorder="1" applyAlignment="1">
      <alignment/>
    </xf>
    <xf numFmtId="165" fontId="66" fillId="0" borderId="14" xfId="46" applyNumberFormat="1" applyFont="1" applyBorder="1" applyAlignment="1">
      <alignment/>
    </xf>
    <xf numFmtId="165" fontId="66" fillId="0" borderId="25" xfId="46" applyNumberFormat="1" applyFont="1" applyBorder="1" applyAlignment="1">
      <alignment/>
    </xf>
    <xf numFmtId="165" fontId="0" fillId="0" borderId="26" xfId="46" applyNumberFormat="1" applyFont="1" applyBorder="1" applyAlignment="1">
      <alignment/>
    </xf>
    <xf numFmtId="165" fontId="63" fillId="0" borderId="13" xfId="46" applyNumberFormat="1" applyFont="1" applyFill="1" applyBorder="1" applyAlignment="1">
      <alignment vertical="center" wrapText="1"/>
    </xf>
    <xf numFmtId="165" fontId="0" fillId="0" borderId="0" xfId="46" applyNumberFormat="1" applyFont="1" applyAlignment="1">
      <alignment wrapText="1"/>
    </xf>
    <xf numFmtId="0" fontId="63" fillId="0" borderId="13" xfId="0" applyFont="1" applyBorder="1" applyAlignment="1">
      <alignment vertical="center" wrapText="1"/>
    </xf>
    <xf numFmtId="0" fontId="63" fillId="0" borderId="13" xfId="0" applyFont="1" applyBorder="1" applyAlignment="1">
      <alignment vertical="center"/>
    </xf>
    <xf numFmtId="165" fontId="63" fillId="0" borderId="13" xfId="46" applyNumberFormat="1" applyFont="1" applyFill="1" applyBorder="1" applyAlignment="1">
      <alignment vertical="center"/>
    </xf>
    <xf numFmtId="165" fontId="63" fillId="35" borderId="13" xfId="46" applyNumberFormat="1" applyFont="1" applyFill="1" applyBorder="1" applyAlignment="1">
      <alignment vertical="center"/>
    </xf>
    <xf numFmtId="165" fontId="63" fillId="0" borderId="0" xfId="46" applyNumberFormat="1" applyFont="1" applyFill="1" applyAlignment="1">
      <alignment/>
    </xf>
    <xf numFmtId="165" fontId="63" fillId="0" borderId="13" xfId="46" applyNumberFormat="1" applyFont="1" applyFill="1" applyBorder="1" applyAlignment="1">
      <alignment/>
    </xf>
    <xf numFmtId="165" fontId="63" fillId="0" borderId="13" xfId="46" applyNumberFormat="1" applyFont="1" applyBorder="1" applyAlignment="1">
      <alignment/>
    </xf>
    <xf numFmtId="165" fontId="63" fillId="0" borderId="0" xfId="46" applyNumberFormat="1" applyFont="1" applyAlignment="1">
      <alignment/>
    </xf>
    <xf numFmtId="9" fontId="63" fillId="0" borderId="13" xfId="46" applyNumberFormat="1" applyFont="1" applyFill="1" applyBorder="1" applyAlignment="1">
      <alignment vertical="center"/>
    </xf>
    <xf numFmtId="165" fontId="63" fillId="35" borderId="13" xfId="46" applyNumberFormat="1" applyFont="1" applyFill="1" applyBorder="1" applyAlignment="1">
      <alignment/>
    </xf>
    <xf numFmtId="165" fontId="63" fillId="35" borderId="13" xfId="46" applyNumberFormat="1" applyFont="1" applyFill="1" applyBorder="1" applyAlignment="1">
      <alignment vertical="center" wrapText="1"/>
    </xf>
    <xf numFmtId="165" fontId="63" fillId="35" borderId="0" xfId="46" applyNumberFormat="1" applyFont="1" applyFill="1" applyAlignment="1">
      <alignment/>
    </xf>
    <xf numFmtId="165" fontId="63" fillId="0" borderId="13" xfId="46" applyNumberFormat="1" applyFont="1" applyBorder="1" applyAlignment="1">
      <alignment vertical="center"/>
    </xf>
    <xf numFmtId="165" fontId="63" fillId="0" borderId="13" xfId="46" applyNumberFormat="1" applyFont="1" applyBorder="1" applyAlignment="1">
      <alignment vertical="center" wrapText="1"/>
    </xf>
    <xf numFmtId="165" fontId="64" fillId="35" borderId="13" xfId="46" applyNumberFormat="1" applyFont="1" applyFill="1" applyBorder="1" applyAlignment="1">
      <alignment/>
    </xf>
    <xf numFmtId="165" fontId="64" fillId="35" borderId="13" xfId="46" applyNumberFormat="1" applyFont="1" applyFill="1" applyBorder="1" applyAlignment="1">
      <alignment vertical="center"/>
    </xf>
    <xf numFmtId="165" fontId="64" fillId="35" borderId="13" xfId="46" applyNumberFormat="1" applyFont="1" applyFill="1" applyBorder="1" applyAlignment="1">
      <alignment vertical="center" wrapText="1"/>
    </xf>
    <xf numFmtId="165" fontId="64" fillId="35" borderId="0" xfId="46" applyNumberFormat="1" applyFont="1" applyFill="1" applyAlignment="1">
      <alignment/>
    </xf>
    <xf numFmtId="3" fontId="63" fillId="0" borderId="13" xfId="0" applyNumberFormat="1" applyFont="1" applyBorder="1" applyAlignment="1">
      <alignment vertical="center"/>
    </xf>
    <xf numFmtId="167" fontId="63" fillId="0" borderId="13" xfId="0" applyNumberFormat="1" applyFont="1" applyBorder="1" applyAlignment="1">
      <alignment vertical="center"/>
    </xf>
    <xf numFmtId="165" fontId="63" fillId="0" borderId="0" xfId="46" applyNumberFormat="1" applyFont="1" applyFill="1" applyBorder="1" applyAlignment="1">
      <alignment/>
    </xf>
    <xf numFmtId="165" fontId="63" fillId="36" borderId="13" xfId="46" applyNumberFormat="1" applyFont="1" applyFill="1" applyBorder="1" applyAlignment="1">
      <alignment/>
    </xf>
    <xf numFmtId="165" fontId="63" fillId="36" borderId="0" xfId="46" applyNumberFormat="1" applyFont="1" applyFill="1" applyBorder="1" applyAlignment="1">
      <alignment/>
    </xf>
    <xf numFmtId="165" fontId="63" fillId="35" borderId="0" xfId="46" applyNumberFormat="1" applyFont="1" applyFill="1" applyBorder="1" applyAlignment="1">
      <alignment/>
    </xf>
    <xf numFmtId="165" fontId="63" fillId="37" borderId="13" xfId="46" applyNumberFormat="1" applyFont="1" applyFill="1" applyBorder="1" applyAlignment="1">
      <alignment/>
    </xf>
    <xf numFmtId="165" fontId="63" fillId="37" borderId="0" xfId="46" applyNumberFormat="1" applyFont="1" applyFill="1" applyBorder="1" applyAlignment="1">
      <alignment/>
    </xf>
    <xf numFmtId="165" fontId="63" fillId="0" borderId="0" xfId="46" applyNumberFormat="1" applyFont="1" applyFill="1" applyBorder="1" applyAlignment="1">
      <alignment vertical="center"/>
    </xf>
    <xf numFmtId="165" fontId="64" fillId="0" borderId="0" xfId="46" applyNumberFormat="1" applyFont="1" applyAlignment="1">
      <alignment/>
    </xf>
    <xf numFmtId="165" fontId="63" fillId="0" borderId="0" xfId="46" applyNumberFormat="1" applyFont="1" applyAlignment="1">
      <alignment horizontal="left"/>
    </xf>
    <xf numFmtId="165" fontId="63" fillId="0" borderId="0" xfId="46" applyNumberFormat="1" applyFont="1" applyAlignment="1">
      <alignment wrapText="1"/>
    </xf>
    <xf numFmtId="9" fontId="63" fillId="0" borderId="13" xfId="46" applyNumberFormat="1" applyFont="1" applyFill="1" applyBorder="1" applyAlignment="1">
      <alignment horizontal="center" vertical="center"/>
    </xf>
    <xf numFmtId="165" fontId="63" fillId="0" borderId="13" xfId="46" applyNumberFormat="1" applyFont="1" applyFill="1" applyBorder="1" applyAlignment="1">
      <alignment horizontal="center" vertical="center"/>
    </xf>
    <xf numFmtId="165" fontId="63" fillId="0" borderId="13" xfId="46" applyNumberFormat="1" applyFont="1" applyBorder="1" applyAlignment="1">
      <alignment horizontal="center" vertical="center"/>
    </xf>
    <xf numFmtId="165" fontId="63" fillId="0" borderId="26" xfId="46" applyNumberFormat="1" applyFont="1" applyFill="1" applyBorder="1" applyAlignment="1">
      <alignment vertical="center" wrapText="1"/>
    </xf>
    <xf numFmtId="165" fontId="63" fillId="35" borderId="13" xfId="46" applyNumberFormat="1" applyFont="1" applyFill="1" applyBorder="1" applyAlignment="1">
      <alignment horizontal="center" vertical="center"/>
    </xf>
    <xf numFmtId="165" fontId="64" fillId="35" borderId="13" xfId="46" applyNumberFormat="1" applyFont="1" applyFill="1" applyBorder="1" applyAlignment="1">
      <alignment horizontal="center" vertical="center"/>
    </xf>
    <xf numFmtId="9" fontId="63" fillId="35" borderId="13" xfId="46" applyNumberFormat="1" applyFont="1" applyFill="1" applyBorder="1" applyAlignment="1">
      <alignment horizontal="center" vertical="center"/>
    </xf>
    <xf numFmtId="165" fontId="63" fillId="0" borderId="0" xfId="46" applyNumberFormat="1" applyFont="1" applyAlignment="1">
      <alignment horizontal="center"/>
    </xf>
    <xf numFmtId="165" fontId="0" fillId="0" borderId="0" xfId="46" applyNumberFormat="1" applyFont="1" applyAlignment="1">
      <alignment horizontal="center"/>
    </xf>
    <xf numFmtId="165" fontId="63" fillId="0" borderId="21" xfId="46" applyNumberFormat="1" applyFont="1" applyFill="1" applyBorder="1" applyAlignment="1">
      <alignment vertical="center" wrapText="1"/>
    </xf>
    <xf numFmtId="165" fontId="63" fillId="44" borderId="13" xfId="46" applyNumberFormat="1" applyFont="1" applyFill="1" applyBorder="1" applyAlignment="1">
      <alignment vertical="center" wrapText="1"/>
    </xf>
    <xf numFmtId="0" fontId="59" fillId="44" borderId="13" xfId="0" applyFont="1" applyFill="1" applyBorder="1" applyAlignment="1">
      <alignment vertical="center" wrapText="1"/>
    </xf>
    <xf numFmtId="165" fontId="63" fillId="17" borderId="13" xfId="46" applyNumberFormat="1" applyFont="1" applyFill="1" applyBorder="1" applyAlignment="1">
      <alignment vertical="center"/>
    </xf>
    <xf numFmtId="165" fontId="63" fillId="17" borderId="0" xfId="46" applyNumberFormat="1" applyFont="1" applyFill="1" applyAlignment="1">
      <alignment/>
    </xf>
    <xf numFmtId="165" fontId="0" fillId="17" borderId="0" xfId="46" applyNumberFormat="1" applyFont="1" applyFill="1" applyAlignment="1">
      <alignment/>
    </xf>
    <xf numFmtId="165" fontId="63" fillId="17" borderId="13" xfId="46" applyNumberFormat="1" applyFont="1" applyFill="1" applyBorder="1" applyAlignment="1">
      <alignment/>
    </xf>
    <xf numFmtId="165" fontId="63" fillId="45" borderId="13" xfId="46" applyNumberFormat="1" applyFont="1" applyFill="1" applyBorder="1" applyAlignment="1">
      <alignment/>
    </xf>
    <xf numFmtId="165" fontId="63" fillId="45" borderId="0" xfId="46" applyNumberFormat="1" applyFont="1" applyFill="1" applyAlignment="1">
      <alignment/>
    </xf>
    <xf numFmtId="165" fontId="0" fillId="45" borderId="0" xfId="46" applyNumberFormat="1" applyFont="1" applyFill="1" applyAlignment="1">
      <alignment/>
    </xf>
    <xf numFmtId="165" fontId="63" fillId="39" borderId="13" xfId="46" applyNumberFormat="1" applyFont="1" applyFill="1" applyBorder="1" applyAlignment="1">
      <alignment/>
    </xf>
    <xf numFmtId="0" fontId="63" fillId="39" borderId="13" xfId="0" applyFont="1" applyFill="1" applyBorder="1" applyAlignment="1">
      <alignment vertical="center" wrapText="1"/>
    </xf>
    <xf numFmtId="165" fontId="63" fillId="39" borderId="13" xfId="46" applyNumberFormat="1" applyFont="1" applyFill="1" applyBorder="1" applyAlignment="1">
      <alignment vertical="center"/>
    </xf>
    <xf numFmtId="165" fontId="63" fillId="39" borderId="13" xfId="46" applyNumberFormat="1" applyFont="1" applyFill="1" applyBorder="1" applyAlignment="1">
      <alignment vertical="center" wrapText="1"/>
    </xf>
    <xf numFmtId="165" fontId="63" fillId="39" borderId="13" xfId="46" applyNumberFormat="1" applyFont="1" applyFill="1" applyBorder="1" applyAlignment="1">
      <alignment horizontal="center" vertical="center"/>
    </xf>
    <xf numFmtId="165" fontId="63" fillId="39" borderId="0" xfId="46" applyNumberFormat="1" applyFont="1" applyFill="1" applyAlignment="1">
      <alignment/>
    </xf>
    <xf numFmtId="165" fontId="0" fillId="39" borderId="0" xfId="46" applyNumberFormat="1" applyFont="1" applyFill="1" applyAlignment="1">
      <alignment/>
    </xf>
    <xf numFmtId="165" fontId="59" fillId="39" borderId="13" xfId="46" applyNumberFormat="1" applyFont="1" applyFill="1" applyBorder="1" applyAlignment="1">
      <alignment horizontal="left" wrapText="1"/>
    </xf>
    <xf numFmtId="9" fontId="63" fillId="39" borderId="13" xfId="46" applyNumberFormat="1" applyFont="1" applyFill="1" applyBorder="1" applyAlignment="1">
      <alignment horizontal="center" vertical="center"/>
    </xf>
    <xf numFmtId="165" fontId="63" fillId="39" borderId="0" xfId="46" applyNumberFormat="1" applyFont="1" applyFill="1" applyBorder="1" applyAlignment="1">
      <alignment/>
    </xf>
    <xf numFmtId="165" fontId="0" fillId="39" borderId="0" xfId="46" applyNumberFormat="1" applyFont="1" applyFill="1" applyBorder="1" applyAlignment="1">
      <alignment/>
    </xf>
    <xf numFmtId="165" fontId="59" fillId="9" borderId="13" xfId="46" applyNumberFormat="1" applyFont="1" applyFill="1" applyBorder="1" applyAlignment="1">
      <alignment horizontal="left" vertical="center" wrapText="1"/>
    </xf>
    <xf numFmtId="165" fontId="63" fillId="12" borderId="13" xfId="46" applyNumberFormat="1" applyFont="1" applyFill="1" applyBorder="1" applyAlignment="1">
      <alignment/>
    </xf>
    <xf numFmtId="165" fontId="63" fillId="12" borderId="0" xfId="46" applyNumberFormat="1" applyFont="1" applyFill="1" applyAlignment="1">
      <alignment/>
    </xf>
    <xf numFmtId="165" fontId="0" fillId="12" borderId="0" xfId="46" applyNumberFormat="1" applyFont="1" applyFill="1" applyAlignment="1">
      <alignment/>
    </xf>
    <xf numFmtId="165" fontId="63" fillId="9" borderId="13" xfId="46" applyNumberFormat="1" applyFont="1" applyFill="1" applyBorder="1" applyAlignment="1">
      <alignment/>
    </xf>
    <xf numFmtId="0" fontId="63" fillId="9" borderId="13" xfId="0" applyFont="1" applyFill="1" applyBorder="1" applyAlignment="1">
      <alignment vertical="center" wrapText="1"/>
    </xf>
    <xf numFmtId="165" fontId="63" fillId="9" borderId="13" xfId="46" applyNumberFormat="1" applyFont="1" applyFill="1" applyBorder="1" applyAlignment="1">
      <alignment vertical="center"/>
    </xf>
    <xf numFmtId="165" fontId="63" fillId="9" borderId="13" xfId="46" applyNumberFormat="1" applyFont="1" applyFill="1" applyBorder="1" applyAlignment="1">
      <alignment vertical="center" wrapText="1"/>
    </xf>
    <xf numFmtId="165" fontId="63" fillId="9" borderId="13" xfId="46" applyNumberFormat="1" applyFont="1" applyFill="1" applyBorder="1" applyAlignment="1">
      <alignment horizontal="center" vertical="center"/>
    </xf>
    <xf numFmtId="165" fontId="63" fillId="9" borderId="0" xfId="46" applyNumberFormat="1" applyFont="1" applyFill="1" applyAlignment="1">
      <alignment/>
    </xf>
    <xf numFmtId="165" fontId="0" fillId="9" borderId="0" xfId="46" applyNumberFormat="1" applyFont="1" applyFill="1" applyAlignment="1">
      <alignment/>
    </xf>
    <xf numFmtId="165" fontId="59" fillId="9" borderId="13" xfId="46" applyNumberFormat="1" applyFont="1" applyFill="1" applyBorder="1" applyAlignment="1">
      <alignment vertical="center" wrapText="1"/>
    </xf>
    <xf numFmtId="165" fontId="63" fillId="40" borderId="13" xfId="46" applyNumberFormat="1" applyFont="1" applyFill="1" applyBorder="1" applyAlignment="1">
      <alignment/>
    </xf>
    <xf numFmtId="165" fontId="59" fillId="40" borderId="13" xfId="46" applyNumberFormat="1" applyFont="1" applyFill="1" applyBorder="1" applyAlignment="1">
      <alignment horizontal="left" vertical="center" wrapText="1"/>
    </xf>
    <xf numFmtId="0" fontId="63" fillId="40" borderId="13" xfId="0" applyFont="1" applyFill="1" applyBorder="1" applyAlignment="1">
      <alignment vertical="center" wrapText="1"/>
    </xf>
    <xf numFmtId="165" fontId="63" fillId="40" borderId="13" xfId="46" applyNumberFormat="1" applyFont="1" applyFill="1" applyBorder="1" applyAlignment="1">
      <alignment vertical="center"/>
    </xf>
    <xf numFmtId="165" fontId="63" fillId="40" borderId="13" xfId="46" applyNumberFormat="1" applyFont="1" applyFill="1" applyBorder="1" applyAlignment="1">
      <alignment vertical="center" wrapText="1"/>
    </xf>
    <xf numFmtId="165" fontId="63" fillId="40" borderId="13" xfId="46" applyNumberFormat="1" applyFont="1" applyFill="1" applyBorder="1" applyAlignment="1">
      <alignment horizontal="center" vertical="center"/>
    </xf>
    <xf numFmtId="165" fontId="63" fillId="40" borderId="0" xfId="46" applyNumberFormat="1" applyFont="1" applyFill="1" applyAlignment="1">
      <alignment/>
    </xf>
    <xf numFmtId="165" fontId="0" fillId="40" borderId="0" xfId="46" applyNumberFormat="1" applyFont="1" applyFill="1" applyAlignment="1">
      <alignment/>
    </xf>
    <xf numFmtId="165" fontId="63" fillId="46" borderId="13" xfId="46" applyNumberFormat="1" applyFont="1" applyFill="1" applyBorder="1" applyAlignment="1">
      <alignment/>
    </xf>
    <xf numFmtId="165" fontId="59" fillId="46" borderId="13" xfId="46" applyNumberFormat="1" applyFont="1" applyFill="1" applyBorder="1" applyAlignment="1">
      <alignment horizontal="left" vertical="center" wrapText="1"/>
    </xf>
    <xf numFmtId="0" fontId="63" fillId="46" borderId="13" xfId="0" applyFont="1" applyFill="1" applyBorder="1" applyAlignment="1">
      <alignment vertical="center" wrapText="1"/>
    </xf>
    <xf numFmtId="165" fontId="63" fillId="46" borderId="13" xfId="46" applyNumberFormat="1" applyFont="1" applyFill="1" applyBorder="1" applyAlignment="1">
      <alignment vertical="center"/>
    </xf>
    <xf numFmtId="165" fontId="63" fillId="46" borderId="13" xfId="46" applyNumberFormat="1" applyFont="1" applyFill="1" applyBorder="1" applyAlignment="1">
      <alignment vertical="center" wrapText="1"/>
    </xf>
    <xf numFmtId="165" fontId="63" fillId="46" borderId="13" xfId="46" applyNumberFormat="1" applyFont="1" applyFill="1" applyBorder="1" applyAlignment="1">
      <alignment horizontal="center" vertical="center"/>
    </xf>
    <xf numFmtId="165" fontId="63" fillId="46" borderId="0" xfId="46" applyNumberFormat="1" applyFont="1" applyFill="1" applyAlignment="1">
      <alignment/>
    </xf>
    <xf numFmtId="165" fontId="0" fillId="46" borderId="0" xfId="46" applyNumberFormat="1" applyFont="1" applyFill="1" applyAlignment="1">
      <alignment/>
    </xf>
    <xf numFmtId="9" fontId="63" fillId="46" borderId="13" xfId="46" applyNumberFormat="1" applyFont="1" applyFill="1" applyBorder="1" applyAlignment="1">
      <alignment horizontal="center" vertical="center"/>
    </xf>
    <xf numFmtId="165" fontId="63" fillId="13" borderId="13" xfId="46" applyNumberFormat="1" applyFont="1" applyFill="1" applyBorder="1" applyAlignment="1">
      <alignment/>
    </xf>
    <xf numFmtId="165" fontId="63" fillId="13" borderId="0" xfId="46" applyNumberFormat="1" applyFont="1" applyFill="1" applyAlignment="1">
      <alignment/>
    </xf>
    <xf numFmtId="165" fontId="0" fillId="13" borderId="0" xfId="46" applyNumberFormat="1" applyFont="1" applyFill="1" applyAlignment="1">
      <alignment/>
    </xf>
    <xf numFmtId="165" fontId="63" fillId="13" borderId="0" xfId="46" applyNumberFormat="1" applyFont="1" applyFill="1" applyBorder="1" applyAlignment="1">
      <alignment/>
    </xf>
    <xf numFmtId="165" fontId="0" fillId="13" borderId="0" xfId="46" applyNumberFormat="1" applyFont="1" applyFill="1" applyBorder="1" applyAlignment="1">
      <alignment/>
    </xf>
    <xf numFmtId="165" fontId="63" fillId="47" borderId="13" xfId="46" applyNumberFormat="1" applyFont="1" applyFill="1" applyBorder="1" applyAlignment="1">
      <alignment vertical="center"/>
    </xf>
    <xf numFmtId="165" fontId="63" fillId="47" borderId="13" xfId="46" applyNumberFormat="1" applyFont="1" applyFill="1" applyBorder="1" applyAlignment="1">
      <alignment vertical="center" wrapText="1"/>
    </xf>
    <xf numFmtId="0" fontId="63" fillId="47" borderId="13" xfId="0" applyFont="1" applyFill="1" applyBorder="1" applyAlignment="1">
      <alignment vertical="center" wrapText="1"/>
    </xf>
    <xf numFmtId="165" fontId="63" fillId="47" borderId="0" xfId="46" applyNumberFormat="1" applyFont="1" applyFill="1" applyBorder="1" applyAlignment="1">
      <alignment/>
    </xf>
    <xf numFmtId="165" fontId="0" fillId="47" borderId="0" xfId="46" applyNumberFormat="1" applyFont="1" applyFill="1" applyBorder="1" applyAlignment="1">
      <alignment/>
    </xf>
    <xf numFmtId="165" fontId="63" fillId="47" borderId="0" xfId="46" applyNumberFormat="1" applyFont="1" applyFill="1" applyBorder="1" applyAlignment="1">
      <alignment vertical="center"/>
    </xf>
    <xf numFmtId="0" fontId="59" fillId="47" borderId="0" xfId="0" applyFont="1" applyFill="1" applyAlignment="1">
      <alignment vertical="center" wrapText="1"/>
    </xf>
    <xf numFmtId="0" fontId="59" fillId="47" borderId="26" xfId="46" applyNumberFormat="1" applyFont="1" applyFill="1" applyBorder="1" applyAlignment="1">
      <alignment vertical="center" wrapText="1"/>
    </xf>
    <xf numFmtId="0" fontId="63" fillId="47" borderId="13" xfId="0" applyFont="1" applyFill="1" applyBorder="1" applyAlignment="1">
      <alignment vertical="center"/>
    </xf>
    <xf numFmtId="9" fontId="63" fillId="47" borderId="13" xfId="46" applyNumberFormat="1" applyFont="1" applyFill="1" applyBorder="1" applyAlignment="1">
      <alignment vertical="center"/>
    </xf>
    <xf numFmtId="165" fontId="63" fillId="47" borderId="13" xfId="46" applyNumberFormat="1" applyFont="1" applyFill="1" applyBorder="1" applyAlignment="1">
      <alignment/>
    </xf>
    <xf numFmtId="165" fontId="59" fillId="47" borderId="13" xfId="46" applyNumberFormat="1" applyFont="1" applyFill="1" applyBorder="1" applyAlignment="1">
      <alignment horizontal="left" vertical="center" wrapText="1"/>
    </xf>
    <xf numFmtId="165" fontId="63" fillId="47" borderId="13" xfId="46" applyNumberFormat="1" applyFont="1" applyFill="1" applyBorder="1" applyAlignment="1">
      <alignment horizontal="center" vertical="center"/>
    </xf>
    <xf numFmtId="9" fontId="63" fillId="47" borderId="13" xfId="46" applyNumberFormat="1" applyFont="1" applyFill="1" applyBorder="1" applyAlignment="1">
      <alignment horizontal="center" vertical="center"/>
    </xf>
    <xf numFmtId="165" fontId="63" fillId="47" borderId="0" xfId="46" applyNumberFormat="1" applyFont="1" applyFill="1" applyAlignment="1">
      <alignment/>
    </xf>
    <xf numFmtId="165" fontId="0" fillId="47" borderId="0" xfId="46" applyNumberFormat="1" applyFont="1" applyFill="1" applyAlignment="1">
      <alignment/>
    </xf>
    <xf numFmtId="0" fontId="63" fillId="39" borderId="26" xfId="0" applyFont="1" applyFill="1" applyBorder="1" applyAlignment="1">
      <alignment vertical="center"/>
    </xf>
    <xf numFmtId="9" fontId="63" fillId="47" borderId="26" xfId="46" applyNumberFormat="1" applyFont="1" applyFill="1" applyBorder="1" applyAlignment="1">
      <alignment horizontal="center" vertical="center"/>
    </xf>
    <xf numFmtId="0" fontId="63" fillId="47" borderId="26" xfId="0" applyFont="1" applyFill="1" applyBorder="1" applyAlignment="1">
      <alignment vertical="center" wrapText="1"/>
    </xf>
    <xf numFmtId="165" fontId="63" fillId="44" borderId="13" xfId="46" applyNumberFormat="1" applyFont="1" applyFill="1" applyBorder="1" applyAlignment="1">
      <alignment/>
    </xf>
    <xf numFmtId="165" fontId="63" fillId="44" borderId="13" xfId="46" applyNumberFormat="1" applyFont="1" applyFill="1" applyBorder="1" applyAlignment="1">
      <alignment vertical="center"/>
    </xf>
    <xf numFmtId="165" fontId="63" fillId="44" borderId="13" xfId="46" applyNumberFormat="1" applyFont="1" applyFill="1" applyBorder="1" applyAlignment="1">
      <alignment horizontal="center" vertical="center"/>
    </xf>
    <xf numFmtId="165" fontId="63" fillId="44" borderId="0" xfId="46" applyNumberFormat="1" applyFont="1" applyFill="1" applyAlignment="1">
      <alignment/>
    </xf>
    <xf numFmtId="165" fontId="0" fillId="44" borderId="0" xfId="46" applyNumberFormat="1" applyFont="1" applyFill="1" applyAlignment="1">
      <alignment/>
    </xf>
    <xf numFmtId="165" fontId="0" fillId="39" borderId="26" xfId="46" applyNumberFormat="1" applyFont="1" applyFill="1" applyBorder="1" applyAlignment="1">
      <alignment vertical="center" wrapText="1"/>
    </xf>
    <xf numFmtId="165" fontId="0" fillId="39" borderId="26" xfId="46" applyNumberFormat="1" applyFont="1" applyFill="1" applyBorder="1" applyAlignment="1">
      <alignment vertical="center"/>
    </xf>
    <xf numFmtId="165" fontId="0" fillId="39" borderId="26" xfId="46" applyNumberFormat="1" applyFont="1" applyFill="1" applyBorder="1" applyAlignment="1">
      <alignment horizontal="center" vertical="center"/>
    </xf>
    <xf numFmtId="165" fontId="12" fillId="39" borderId="13" xfId="46" applyNumberFormat="1" applyFont="1" applyFill="1" applyBorder="1" applyAlignment="1">
      <alignment vertical="center" wrapText="1"/>
    </xf>
    <xf numFmtId="0" fontId="59" fillId="39" borderId="13" xfId="46" applyNumberFormat="1" applyFont="1" applyFill="1" applyBorder="1" applyAlignment="1">
      <alignment vertical="center" wrapText="1"/>
    </xf>
    <xf numFmtId="40" fontId="59" fillId="39" borderId="13" xfId="50" applyFont="1" applyFill="1" applyBorder="1" applyAlignment="1">
      <alignment horizontal="right" vertical="center" wrapText="1"/>
    </xf>
    <xf numFmtId="165" fontId="58" fillId="39" borderId="13" xfId="46" applyNumberFormat="1" applyFont="1" applyFill="1" applyBorder="1" applyAlignment="1">
      <alignment horizontal="center" vertical="center" wrapText="1"/>
    </xf>
    <xf numFmtId="165" fontId="66" fillId="48" borderId="13" xfId="46" applyNumberFormat="1" applyFont="1" applyFill="1" applyBorder="1" applyAlignment="1">
      <alignment/>
    </xf>
    <xf numFmtId="165" fontId="0" fillId="48" borderId="0" xfId="46" applyNumberFormat="1" applyFont="1" applyFill="1" applyAlignment="1">
      <alignment/>
    </xf>
    <xf numFmtId="165" fontId="57" fillId="48" borderId="13" xfId="46" applyNumberFormat="1" applyFont="1" applyFill="1" applyBorder="1" applyAlignment="1">
      <alignment horizontal="center"/>
    </xf>
    <xf numFmtId="165" fontId="57" fillId="48" borderId="13" xfId="46" applyNumberFormat="1" applyFont="1" applyFill="1" applyBorder="1" applyAlignment="1">
      <alignment horizontal="left"/>
    </xf>
    <xf numFmtId="165" fontId="54" fillId="48" borderId="0" xfId="46" applyNumberFormat="1" applyFont="1" applyFill="1" applyAlignment="1">
      <alignment/>
    </xf>
    <xf numFmtId="165" fontId="58" fillId="48" borderId="13" xfId="46" applyNumberFormat="1" applyFont="1" applyFill="1" applyBorder="1" applyAlignment="1">
      <alignment horizontal="center" wrapText="1"/>
    </xf>
    <xf numFmtId="0" fontId="17" fillId="48" borderId="13" xfId="54" applyFont="1" applyFill="1" applyBorder="1" applyAlignment="1">
      <alignment horizontal="center" vertical="center" wrapText="1"/>
      <protection/>
    </xf>
    <xf numFmtId="0" fontId="17" fillId="48" borderId="13" xfId="0" applyFont="1" applyFill="1" applyBorder="1" applyAlignment="1">
      <alignment horizontal="center" vertical="center" wrapText="1"/>
    </xf>
    <xf numFmtId="0" fontId="17" fillId="48" borderId="13" xfId="54" applyFont="1" applyFill="1" applyBorder="1" applyAlignment="1">
      <alignment horizontal="center" vertical="center"/>
      <protection/>
    </xf>
    <xf numFmtId="3" fontId="17" fillId="48" borderId="13" xfId="54" applyNumberFormat="1" applyFont="1" applyFill="1" applyBorder="1" applyAlignment="1">
      <alignment horizontal="center" vertical="center"/>
      <protection/>
    </xf>
    <xf numFmtId="165" fontId="59" fillId="39" borderId="13" xfId="46" applyNumberFormat="1" applyFont="1" applyFill="1" applyBorder="1" applyAlignment="1">
      <alignment horizontal="left" vertical="center" wrapText="1"/>
    </xf>
    <xf numFmtId="0" fontId="67" fillId="39" borderId="0" xfId="0" applyFont="1" applyFill="1" applyAlignment="1">
      <alignment vertical="center" wrapText="1"/>
    </xf>
    <xf numFmtId="1" fontId="19" fillId="39" borderId="13" xfId="0" applyNumberFormat="1" applyFont="1" applyFill="1" applyBorder="1" applyAlignment="1">
      <alignment horizontal="justify" vertical="center"/>
    </xf>
    <xf numFmtId="0" fontId="63" fillId="44" borderId="13" xfId="0" applyFont="1" applyFill="1" applyBorder="1" applyAlignment="1">
      <alignment vertical="center" wrapText="1"/>
    </xf>
    <xf numFmtId="3" fontId="0" fillId="44" borderId="13" xfId="0" applyNumberFormat="1" applyFill="1" applyBorder="1" applyAlignment="1">
      <alignment vertical="center"/>
    </xf>
    <xf numFmtId="3" fontId="0" fillId="44" borderId="0" xfId="0" applyNumberFormat="1" applyFill="1" applyAlignment="1">
      <alignment vertical="center"/>
    </xf>
    <xf numFmtId="9" fontId="63" fillId="44" borderId="13" xfId="46" applyNumberFormat="1" applyFont="1" applyFill="1" applyBorder="1" applyAlignment="1">
      <alignment horizontal="center" vertical="center"/>
    </xf>
    <xf numFmtId="0" fontId="59" fillId="44" borderId="13" xfId="46" applyNumberFormat="1" applyFont="1" applyFill="1" applyBorder="1" applyAlignment="1">
      <alignment horizontal="left" wrapText="1"/>
    </xf>
    <xf numFmtId="0" fontId="58" fillId="44" borderId="13" xfId="46" applyNumberFormat="1" applyFont="1" applyFill="1" applyBorder="1" applyAlignment="1">
      <alignment horizontal="center" vertical="center" wrapText="1"/>
    </xf>
    <xf numFmtId="165" fontId="59" fillId="44" borderId="13" xfId="46" applyNumberFormat="1" applyFont="1" applyFill="1" applyBorder="1" applyAlignment="1">
      <alignment vertical="center" wrapText="1"/>
    </xf>
    <xf numFmtId="165" fontId="63" fillId="44" borderId="0" xfId="46" applyNumberFormat="1" applyFont="1" applyFill="1" applyAlignment="1">
      <alignment vertical="center"/>
    </xf>
    <xf numFmtId="43" fontId="63" fillId="44" borderId="13" xfId="46" applyNumberFormat="1" applyFont="1" applyFill="1" applyBorder="1" applyAlignment="1">
      <alignment horizontal="right" vertical="top" wrapText="1"/>
    </xf>
    <xf numFmtId="165" fontId="64" fillId="15" borderId="13" xfId="46" applyNumberFormat="1" applyFont="1" applyFill="1" applyBorder="1" applyAlignment="1">
      <alignment/>
    </xf>
    <xf numFmtId="0" fontId="63" fillId="15" borderId="13" xfId="0" applyFont="1" applyFill="1" applyBorder="1" applyAlignment="1">
      <alignment vertical="center" wrapText="1"/>
    </xf>
    <xf numFmtId="165" fontId="64" fillId="15" borderId="13" xfId="46" applyNumberFormat="1" applyFont="1" applyFill="1" applyBorder="1" applyAlignment="1">
      <alignment vertical="center"/>
    </xf>
    <xf numFmtId="165" fontId="64" fillId="15" borderId="13" xfId="46" applyNumberFormat="1" applyFont="1" applyFill="1" applyBorder="1" applyAlignment="1">
      <alignment vertical="center" wrapText="1"/>
    </xf>
    <xf numFmtId="165" fontId="64" fillId="15" borderId="13" xfId="46" applyNumberFormat="1" applyFont="1" applyFill="1" applyBorder="1" applyAlignment="1">
      <alignment horizontal="center" vertical="center"/>
    </xf>
    <xf numFmtId="165" fontId="63" fillId="15" borderId="13" xfId="46" applyNumberFormat="1" applyFont="1" applyFill="1" applyBorder="1" applyAlignment="1">
      <alignment vertical="center"/>
    </xf>
    <xf numFmtId="165" fontId="64" fillId="15" borderId="0" xfId="46" applyNumberFormat="1" applyFont="1" applyFill="1" applyAlignment="1">
      <alignment/>
    </xf>
    <xf numFmtId="165" fontId="54" fillId="15" borderId="0" xfId="46" applyNumberFormat="1" applyFont="1" applyFill="1" applyAlignment="1">
      <alignment/>
    </xf>
    <xf numFmtId="165" fontId="59" fillId="15" borderId="13" xfId="46" applyNumberFormat="1" applyFont="1" applyFill="1" applyBorder="1" applyAlignment="1">
      <alignment horizontal="left" wrapText="1"/>
    </xf>
    <xf numFmtId="0" fontId="59" fillId="15" borderId="0" xfId="0" applyFont="1" applyFill="1" applyAlignment="1">
      <alignment vertical="center" wrapText="1"/>
    </xf>
    <xf numFmtId="0" fontId="63" fillId="15" borderId="13" xfId="0" applyFont="1" applyFill="1" applyBorder="1" applyAlignment="1">
      <alignment vertical="center"/>
    </xf>
    <xf numFmtId="165" fontId="63" fillId="15" borderId="13" xfId="46" applyNumberFormat="1" applyFont="1" applyFill="1" applyBorder="1" applyAlignment="1">
      <alignment horizontal="center" vertical="center"/>
    </xf>
    <xf numFmtId="165" fontId="63" fillId="15" borderId="13" xfId="46" applyNumberFormat="1" applyFont="1" applyFill="1" applyBorder="1" applyAlignment="1">
      <alignment vertical="center" wrapText="1"/>
    </xf>
    <xf numFmtId="9" fontId="63" fillId="15" borderId="13" xfId="46" applyNumberFormat="1" applyFont="1" applyFill="1" applyBorder="1" applyAlignment="1">
      <alignment horizontal="center" vertical="center"/>
    </xf>
    <xf numFmtId="165" fontId="59" fillId="15" borderId="13" xfId="46" applyNumberFormat="1" applyFont="1" applyFill="1" applyBorder="1" applyAlignment="1">
      <alignment horizontal="left" vertical="center" wrapText="1"/>
    </xf>
    <xf numFmtId="165" fontId="63" fillId="49" borderId="13" xfId="46" applyNumberFormat="1" applyFont="1" applyFill="1" applyBorder="1" applyAlignment="1">
      <alignment/>
    </xf>
    <xf numFmtId="0" fontId="63" fillId="49" borderId="13" xfId="0" applyFont="1" applyFill="1" applyBorder="1" applyAlignment="1">
      <alignment vertical="center" wrapText="1"/>
    </xf>
    <xf numFmtId="165" fontId="63" fillId="49" borderId="13" xfId="46" applyNumberFormat="1" applyFont="1" applyFill="1" applyBorder="1" applyAlignment="1">
      <alignment vertical="center"/>
    </xf>
    <xf numFmtId="165" fontId="63" fillId="49" borderId="13" xfId="46" applyNumberFormat="1" applyFont="1" applyFill="1" applyBorder="1" applyAlignment="1">
      <alignment vertical="center" wrapText="1"/>
    </xf>
    <xf numFmtId="165" fontId="63" fillId="49" borderId="13" xfId="46" applyNumberFormat="1" applyFont="1" applyFill="1" applyBorder="1" applyAlignment="1">
      <alignment horizontal="center" vertical="center"/>
    </xf>
    <xf numFmtId="165" fontId="63" fillId="49" borderId="0" xfId="46" applyNumberFormat="1" applyFont="1" applyFill="1" applyAlignment="1">
      <alignment/>
    </xf>
    <xf numFmtId="165" fontId="0" fillId="49" borderId="0" xfId="46" applyNumberFormat="1" applyFont="1" applyFill="1" applyAlignment="1">
      <alignment/>
    </xf>
    <xf numFmtId="165" fontId="63" fillId="43" borderId="13" xfId="46" applyNumberFormat="1" applyFont="1" applyFill="1" applyBorder="1" applyAlignment="1">
      <alignment vertical="center"/>
    </xf>
    <xf numFmtId="165" fontId="58" fillId="40" borderId="13" xfId="46" applyNumberFormat="1" applyFont="1" applyFill="1" applyBorder="1" applyAlignment="1">
      <alignment horizontal="center" vertical="center" wrapText="1"/>
    </xf>
    <xf numFmtId="165" fontId="58" fillId="46" borderId="13" xfId="46" applyNumberFormat="1" applyFont="1" applyFill="1" applyBorder="1" applyAlignment="1">
      <alignment horizontal="center" vertical="center" wrapText="1"/>
    </xf>
    <xf numFmtId="0" fontId="63" fillId="8" borderId="13" xfId="0" applyFont="1" applyFill="1" applyBorder="1" applyAlignment="1">
      <alignment vertical="center" wrapText="1"/>
    </xf>
    <xf numFmtId="165" fontId="63" fillId="8" borderId="13" xfId="46" applyNumberFormat="1" applyFont="1" applyFill="1" applyBorder="1" applyAlignment="1">
      <alignment vertical="center"/>
    </xf>
    <xf numFmtId="165" fontId="63" fillId="8" borderId="13" xfId="46" applyNumberFormat="1" applyFont="1" applyFill="1" applyBorder="1" applyAlignment="1">
      <alignment vertical="center" wrapText="1"/>
    </xf>
    <xf numFmtId="165" fontId="63" fillId="8" borderId="13" xfId="46" applyNumberFormat="1" applyFont="1" applyFill="1" applyBorder="1" applyAlignment="1">
      <alignment horizontal="center" vertical="center"/>
    </xf>
    <xf numFmtId="165" fontId="59" fillId="8" borderId="13" xfId="46" applyNumberFormat="1" applyFont="1" applyFill="1" applyBorder="1" applyAlignment="1">
      <alignment horizontal="left" vertical="center" wrapText="1"/>
    </xf>
    <xf numFmtId="9" fontId="63" fillId="8" borderId="13" xfId="46" applyNumberFormat="1" applyFont="1" applyFill="1" applyBorder="1" applyAlignment="1">
      <alignment horizontal="center" vertical="center"/>
    </xf>
    <xf numFmtId="9" fontId="63" fillId="8" borderId="13" xfId="46" applyNumberFormat="1" applyFont="1" applyFill="1" applyBorder="1" applyAlignment="1">
      <alignment vertical="center"/>
    </xf>
    <xf numFmtId="165" fontId="58" fillId="8" borderId="13" xfId="46" applyNumberFormat="1" applyFont="1" applyFill="1" applyBorder="1" applyAlignment="1">
      <alignment horizontal="center" vertical="center" wrapText="1"/>
    </xf>
    <xf numFmtId="0" fontId="63" fillId="6" borderId="13" xfId="0" applyFont="1" applyFill="1" applyBorder="1" applyAlignment="1">
      <alignment vertical="center" wrapText="1"/>
    </xf>
    <xf numFmtId="165" fontId="63" fillId="6" borderId="13" xfId="46" applyNumberFormat="1" applyFont="1" applyFill="1" applyBorder="1" applyAlignment="1">
      <alignment vertical="center"/>
    </xf>
    <xf numFmtId="165" fontId="63" fillId="6" borderId="13" xfId="46" applyNumberFormat="1" applyFont="1" applyFill="1" applyBorder="1" applyAlignment="1">
      <alignment vertical="center" wrapText="1"/>
    </xf>
    <xf numFmtId="165" fontId="63" fillId="6" borderId="13" xfId="46" applyNumberFormat="1" applyFont="1" applyFill="1" applyBorder="1" applyAlignment="1">
      <alignment horizontal="center" vertical="center"/>
    </xf>
    <xf numFmtId="165" fontId="59" fillId="6" borderId="13" xfId="46" applyNumberFormat="1" applyFont="1" applyFill="1" applyBorder="1" applyAlignment="1">
      <alignment horizontal="left" vertical="center" wrapText="1"/>
    </xf>
    <xf numFmtId="165" fontId="0" fillId="6" borderId="13" xfId="46" applyNumberFormat="1" applyFont="1" applyFill="1" applyBorder="1" applyAlignment="1">
      <alignment/>
    </xf>
    <xf numFmtId="0" fontId="63" fillId="6" borderId="13" xfId="0" applyFont="1" applyFill="1" applyBorder="1" applyAlignment="1">
      <alignment vertical="center"/>
    </xf>
    <xf numFmtId="165" fontId="58" fillId="6" borderId="13" xfId="46" applyNumberFormat="1" applyFont="1" applyFill="1" applyBorder="1" applyAlignment="1">
      <alignment horizontal="center" vertical="center" wrapText="1"/>
    </xf>
    <xf numFmtId="9" fontId="63" fillId="6" borderId="13" xfId="46" applyNumberFormat="1" applyFont="1" applyFill="1" applyBorder="1" applyAlignment="1">
      <alignment horizontal="center" vertical="center"/>
    </xf>
    <xf numFmtId="165" fontId="58" fillId="15" borderId="13" xfId="46" applyNumberFormat="1" applyFont="1" applyFill="1" applyBorder="1" applyAlignment="1">
      <alignment horizontal="center" vertical="center" wrapText="1"/>
    </xf>
    <xf numFmtId="0" fontId="63" fillId="50" borderId="13" xfId="0" applyFont="1" applyFill="1" applyBorder="1" applyAlignment="1">
      <alignment vertical="center" wrapText="1"/>
    </xf>
    <xf numFmtId="165" fontId="63" fillId="50" borderId="13" xfId="46" applyNumberFormat="1" applyFont="1" applyFill="1" applyBorder="1" applyAlignment="1">
      <alignment vertical="center"/>
    </xf>
    <xf numFmtId="165" fontId="63" fillId="50" borderId="13" xfId="46" applyNumberFormat="1" applyFont="1" applyFill="1" applyBorder="1" applyAlignment="1">
      <alignment vertical="center" wrapText="1"/>
    </xf>
    <xf numFmtId="165" fontId="63" fillId="50" borderId="13" xfId="46" applyNumberFormat="1" applyFont="1" applyFill="1" applyBorder="1" applyAlignment="1">
      <alignment horizontal="center" vertical="center"/>
    </xf>
    <xf numFmtId="165" fontId="59" fillId="50" borderId="13" xfId="46" applyNumberFormat="1" applyFont="1" applyFill="1" applyBorder="1" applyAlignment="1">
      <alignment horizontal="left" vertical="center" wrapText="1"/>
    </xf>
    <xf numFmtId="9" fontId="63" fillId="50" borderId="13" xfId="46" applyNumberFormat="1" applyFont="1" applyFill="1" applyBorder="1" applyAlignment="1">
      <alignment horizontal="center" vertical="center"/>
    </xf>
    <xf numFmtId="165" fontId="58" fillId="50" borderId="13" xfId="46" applyNumberFormat="1" applyFont="1" applyFill="1" applyBorder="1" applyAlignment="1">
      <alignment horizontal="center" vertical="center" wrapText="1"/>
    </xf>
    <xf numFmtId="165" fontId="58" fillId="47" borderId="26" xfId="46" applyNumberFormat="1" applyFont="1" applyFill="1" applyBorder="1" applyAlignment="1">
      <alignment vertical="center" wrapText="1"/>
    </xf>
    <xf numFmtId="165" fontId="58" fillId="47" borderId="13" xfId="46" applyNumberFormat="1" applyFont="1" applyFill="1" applyBorder="1" applyAlignment="1">
      <alignment horizontal="center" vertical="center" wrapText="1"/>
    </xf>
    <xf numFmtId="0" fontId="63" fillId="51" borderId="13" xfId="0" applyFont="1" applyFill="1" applyBorder="1" applyAlignment="1">
      <alignment vertical="center" wrapText="1"/>
    </xf>
    <xf numFmtId="165" fontId="63" fillId="51" borderId="13" xfId="46" applyNumberFormat="1" applyFont="1" applyFill="1" applyBorder="1" applyAlignment="1">
      <alignment vertical="center"/>
    </xf>
    <xf numFmtId="165" fontId="63" fillId="51" borderId="13" xfId="46" applyNumberFormat="1" applyFont="1" applyFill="1" applyBorder="1" applyAlignment="1">
      <alignment vertical="center" wrapText="1"/>
    </xf>
    <xf numFmtId="165" fontId="63" fillId="51" borderId="13" xfId="46" applyNumberFormat="1" applyFont="1" applyFill="1" applyBorder="1" applyAlignment="1">
      <alignment horizontal="center" vertical="center"/>
    </xf>
    <xf numFmtId="165" fontId="59" fillId="51" borderId="13" xfId="46" applyNumberFormat="1" applyFont="1" applyFill="1" applyBorder="1" applyAlignment="1">
      <alignment horizontal="left" vertical="center" wrapText="1"/>
    </xf>
    <xf numFmtId="0" fontId="59" fillId="51" borderId="0" xfId="0" applyFont="1" applyFill="1" applyAlignment="1">
      <alignment vertical="center" wrapText="1"/>
    </xf>
    <xf numFmtId="0" fontId="63" fillId="51" borderId="13" xfId="0" applyFont="1" applyFill="1" applyBorder="1" applyAlignment="1">
      <alignment vertical="center"/>
    </xf>
    <xf numFmtId="165" fontId="58" fillId="51" borderId="13" xfId="46" applyNumberFormat="1" applyFont="1" applyFill="1" applyBorder="1" applyAlignment="1">
      <alignment horizontal="center" vertical="center" wrapText="1"/>
    </xf>
    <xf numFmtId="9" fontId="63" fillId="51" borderId="13" xfId="46" applyNumberFormat="1" applyFont="1" applyFill="1" applyBorder="1" applyAlignment="1">
      <alignment horizontal="center" vertical="center"/>
    </xf>
    <xf numFmtId="3" fontId="63" fillId="51" borderId="13" xfId="46" applyNumberFormat="1" applyFont="1" applyFill="1" applyBorder="1" applyAlignment="1">
      <alignment horizontal="center" vertical="center"/>
    </xf>
    <xf numFmtId="3" fontId="63" fillId="51" borderId="13" xfId="46" applyNumberFormat="1" applyFont="1" applyFill="1" applyBorder="1" applyAlignment="1">
      <alignment vertical="center"/>
    </xf>
    <xf numFmtId="0" fontId="63" fillId="43" borderId="13" xfId="0" applyFont="1" applyFill="1" applyBorder="1" applyAlignment="1">
      <alignment vertical="center" wrapText="1"/>
    </xf>
    <xf numFmtId="165" fontId="63" fillId="43" borderId="13" xfId="46" applyNumberFormat="1" applyFont="1" applyFill="1" applyBorder="1" applyAlignment="1">
      <alignment vertical="center" wrapText="1"/>
    </xf>
    <xf numFmtId="165" fontId="63" fillId="43" borderId="13" xfId="46" applyNumberFormat="1" applyFont="1" applyFill="1" applyBorder="1" applyAlignment="1">
      <alignment horizontal="center" vertical="center"/>
    </xf>
    <xf numFmtId="165" fontId="59" fillId="43" borderId="13" xfId="46" applyNumberFormat="1" applyFont="1" applyFill="1" applyBorder="1" applyAlignment="1">
      <alignment horizontal="left" vertical="center" wrapText="1"/>
    </xf>
    <xf numFmtId="165" fontId="58" fillId="43" borderId="13" xfId="46" applyNumberFormat="1" applyFont="1" applyFill="1" applyBorder="1" applyAlignment="1">
      <alignment horizontal="center" vertical="center" wrapText="1"/>
    </xf>
    <xf numFmtId="165" fontId="59" fillId="52" borderId="13" xfId="46" applyNumberFormat="1" applyFont="1" applyFill="1" applyBorder="1" applyAlignment="1">
      <alignment horizontal="left" wrapText="1"/>
    </xf>
    <xf numFmtId="0" fontId="63" fillId="52" borderId="13" xfId="0" applyFont="1" applyFill="1" applyBorder="1" applyAlignment="1">
      <alignment vertical="center" wrapText="1"/>
    </xf>
    <xf numFmtId="165" fontId="63" fillId="52" borderId="13" xfId="46" applyNumberFormat="1" applyFont="1" applyFill="1" applyBorder="1" applyAlignment="1">
      <alignment vertical="center"/>
    </xf>
    <xf numFmtId="165" fontId="63" fillId="52" borderId="13" xfId="46" applyNumberFormat="1" applyFont="1" applyFill="1" applyBorder="1" applyAlignment="1">
      <alignment vertical="center" wrapText="1"/>
    </xf>
    <xf numFmtId="165" fontId="63" fillId="52" borderId="13" xfId="46" applyNumberFormat="1" applyFont="1" applyFill="1" applyBorder="1" applyAlignment="1">
      <alignment horizontal="center" vertical="center"/>
    </xf>
    <xf numFmtId="165" fontId="59" fillId="53" borderId="13" xfId="46" applyNumberFormat="1" applyFont="1" applyFill="1" applyBorder="1" applyAlignment="1">
      <alignment horizontal="left" vertical="center" wrapText="1"/>
    </xf>
    <xf numFmtId="0" fontId="63" fillId="53" borderId="13" xfId="0" applyFont="1" applyFill="1" applyBorder="1" applyAlignment="1">
      <alignment vertical="center" wrapText="1"/>
    </xf>
    <xf numFmtId="165" fontId="63" fillId="53" borderId="13" xfId="46" applyNumberFormat="1" applyFont="1" applyFill="1" applyBorder="1" applyAlignment="1">
      <alignment vertical="center"/>
    </xf>
    <xf numFmtId="165" fontId="63" fillId="53" borderId="13" xfId="46" applyNumberFormat="1" applyFont="1" applyFill="1" applyBorder="1" applyAlignment="1">
      <alignment vertical="center" wrapText="1"/>
    </xf>
    <xf numFmtId="10" fontId="63" fillId="53" borderId="13" xfId="46" applyNumberFormat="1" applyFont="1" applyFill="1" applyBorder="1" applyAlignment="1">
      <alignment horizontal="center" vertical="center"/>
    </xf>
    <xf numFmtId="0" fontId="59" fillId="54" borderId="13" xfId="46" applyNumberFormat="1" applyFont="1" applyFill="1" applyBorder="1" applyAlignment="1">
      <alignment horizontal="left" vertical="center" wrapText="1"/>
    </xf>
    <xf numFmtId="0" fontId="63" fillId="54" borderId="13" xfId="0" applyFont="1" applyFill="1" applyBorder="1" applyAlignment="1">
      <alignment vertical="center" wrapText="1"/>
    </xf>
    <xf numFmtId="165" fontId="63" fillId="54" borderId="13" xfId="46" applyNumberFormat="1" applyFont="1" applyFill="1" applyBorder="1" applyAlignment="1">
      <alignment vertical="center"/>
    </xf>
    <xf numFmtId="165" fontId="63" fillId="54" borderId="13" xfId="46" applyNumberFormat="1" applyFont="1" applyFill="1" applyBorder="1" applyAlignment="1">
      <alignment vertical="center" wrapText="1"/>
    </xf>
    <xf numFmtId="165" fontId="63" fillId="54" borderId="13" xfId="46" applyNumberFormat="1" applyFont="1" applyFill="1" applyBorder="1" applyAlignment="1">
      <alignment horizontal="center" vertical="center"/>
    </xf>
    <xf numFmtId="0" fontId="63" fillId="55" borderId="13" xfId="0" applyFont="1" applyFill="1" applyBorder="1" applyAlignment="1">
      <alignment vertical="center" wrapText="1"/>
    </xf>
    <xf numFmtId="165" fontId="63" fillId="55" borderId="13" xfId="46" applyNumberFormat="1" applyFont="1" applyFill="1" applyBorder="1" applyAlignment="1">
      <alignment vertical="center"/>
    </xf>
    <xf numFmtId="165" fontId="63" fillId="55" borderId="13" xfId="46" applyNumberFormat="1" applyFont="1" applyFill="1" applyBorder="1" applyAlignment="1">
      <alignment vertical="center" wrapText="1"/>
    </xf>
    <xf numFmtId="165" fontId="63" fillId="55" borderId="13" xfId="46" applyNumberFormat="1" applyFont="1" applyFill="1" applyBorder="1" applyAlignment="1">
      <alignment horizontal="center" vertical="center"/>
    </xf>
    <xf numFmtId="165" fontId="59" fillId="55" borderId="13" xfId="46" applyNumberFormat="1" applyFont="1" applyFill="1" applyBorder="1" applyAlignment="1">
      <alignment horizontal="left" wrapText="1"/>
    </xf>
    <xf numFmtId="0" fontId="59" fillId="55" borderId="0" xfId="0" applyFont="1" applyFill="1" applyAlignment="1">
      <alignment vertical="center" wrapText="1"/>
    </xf>
    <xf numFmtId="0" fontId="63" fillId="55" borderId="13" xfId="0" applyFont="1" applyFill="1" applyBorder="1" applyAlignment="1">
      <alignment vertical="center"/>
    </xf>
    <xf numFmtId="165" fontId="0" fillId="55" borderId="0" xfId="46" applyNumberFormat="1" applyFont="1" applyFill="1" applyAlignment="1">
      <alignment/>
    </xf>
    <xf numFmtId="9" fontId="63" fillId="55" borderId="13" xfId="46" applyNumberFormat="1" applyFont="1" applyFill="1" applyBorder="1" applyAlignment="1">
      <alignment horizontal="center" vertical="center"/>
    </xf>
    <xf numFmtId="165" fontId="58" fillId="55" borderId="13" xfId="46" applyNumberFormat="1" applyFont="1" applyFill="1" applyBorder="1" applyAlignment="1">
      <alignment horizontal="center" wrapText="1"/>
    </xf>
    <xf numFmtId="3" fontId="64" fillId="55" borderId="13" xfId="0" applyNumberFormat="1" applyFont="1" applyFill="1" applyBorder="1" applyAlignment="1">
      <alignment horizontal="right" vertical="top" wrapText="1"/>
    </xf>
    <xf numFmtId="0" fontId="59" fillId="55" borderId="13" xfId="0" applyFont="1" applyFill="1" applyBorder="1" applyAlignment="1">
      <alignment vertical="center" wrapText="1"/>
    </xf>
    <xf numFmtId="9" fontId="63" fillId="55" borderId="13" xfId="46" applyNumberFormat="1" applyFont="1" applyFill="1" applyBorder="1" applyAlignment="1">
      <alignment vertical="center"/>
    </xf>
    <xf numFmtId="0" fontId="0" fillId="55" borderId="0" xfId="0" applyFill="1" applyAlignment="1">
      <alignment vertical="center"/>
    </xf>
    <xf numFmtId="165" fontId="58" fillId="55" borderId="13" xfId="46" applyNumberFormat="1" applyFont="1" applyFill="1" applyBorder="1" applyAlignment="1">
      <alignment horizontal="center" vertical="center" wrapText="1"/>
    </xf>
    <xf numFmtId="165" fontId="59" fillId="56" borderId="13" xfId="46" applyNumberFormat="1" applyFont="1" applyFill="1" applyBorder="1" applyAlignment="1">
      <alignment horizontal="left" wrapText="1"/>
    </xf>
    <xf numFmtId="0" fontId="63" fillId="56" borderId="13" xfId="0" applyFont="1" applyFill="1" applyBorder="1" applyAlignment="1">
      <alignment vertical="center" wrapText="1"/>
    </xf>
    <xf numFmtId="165" fontId="63" fillId="56" borderId="13" xfId="46" applyNumberFormat="1" applyFont="1" applyFill="1" applyBorder="1" applyAlignment="1">
      <alignment vertical="center"/>
    </xf>
    <xf numFmtId="165" fontId="63" fillId="56" borderId="13" xfId="46" applyNumberFormat="1" applyFont="1" applyFill="1" applyBorder="1" applyAlignment="1">
      <alignment vertical="center" wrapText="1"/>
    </xf>
    <xf numFmtId="165" fontId="63" fillId="56" borderId="13" xfId="46" applyNumberFormat="1" applyFont="1" applyFill="1" applyBorder="1" applyAlignment="1">
      <alignment horizontal="center" vertical="center"/>
    </xf>
    <xf numFmtId="165" fontId="63" fillId="56" borderId="0" xfId="46" applyNumberFormat="1" applyFont="1" applyFill="1" applyAlignment="1">
      <alignment vertical="center"/>
    </xf>
    <xf numFmtId="0" fontId="59" fillId="56" borderId="13" xfId="46" applyNumberFormat="1" applyFont="1" applyFill="1" applyBorder="1" applyAlignment="1">
      <alignment horizontal="left" wrapText="1"/>
    </xf>
    <xf numFmtId="165" fontId="59" fillId="56" borderId="13" xfId="46" applyNumberFormat="1" applyFont="1" applyFill="1" applyBorder="1" applyAlignment="1">
      <alignment horizontal="left" vertical="center" wrapText="1"/>
    </xf>
    <xf numFmtId="9" fontId="63" fillId="56" borderId="13" xfId="46" applyNumberFormat="1" applyFont="1" applyFill="1" applyBorder="1" applyAlignment="1">
      <alignment horizontal="center" vertical="center"/>
    </xf>
    <xf numFmtId="165" fontId="59" fillId="35" borderId="13" xfId="46" applyNumberFormat="1" applyFont="1" applyFill="1" applyBorder="1" applyAlignment="1">
      <alignment horizontal="left" vertical="center" wrapText="1"/>
    </xf>
    <xf numFmtId="0" fontId="63" fillId="35" borderId="13" xfId="0" applyFont="1" applyFill="1" applyBorder="1" applyAlignment="1">
      <alignment vertical="center" wrapText="1"/>
    </xf>
    <xf numFmtId="0" fontId="17" fillId="40" borderId="13" xfId="54" applyFont="1" applyFill="1" applyBorder="1" applyAlignment="1">
      <alignment horizontal="center" vertical="center" wrapText="1"/>
      <protection/>
    </xf>
    <xf numFmtId="0" fontId="17" fillId="40" borderId="13" xfId="0" applyFont="1" applyFill="1" applyBorder="1" applyAlignment="1">
      <alignment horizontal="center" vertical="center" wrapText="1"/>
    </xf>
    <xf numFmtId="165" fontId="0" fillId="0" borderId="0" xfId="46" applyNumberFormat="1" applyFont="1" applyAlignment="1">
      <alignment vertical="center" wrapText="1"/>
    </xf>
    <xf numFmtId="0" fontId="17" fillId="0" borderId="13" xfId="0" applyFont="1" applyFill="1" applyBorder="1" applyAlignment="1">
      <alignment vertical="center" wrapText="1"/>
    </xf>
    <xf numFmtId="14" fontId="23" fillId="0" borderId="13" xfId="0" applyNumberFormat="1" applyFont="1" applyFill="1" applyBorder="1" applyAlignment="1">
      <alignment vertical="center"/>
    </xf>
    <xf numFmtId="165" fontId="63" fillId="17" borderId="13" xfId="46" applyNumberFormat="1" applyFont="1" applyFill="1" applyBorder="1" applyAlignment="1">
      <alignment vertical="center" wrapText="1"/>
    </xf>
    <xf numFmtId="14" fontId="63" fillId="17" borderId="13" xfId="46" applyNumberFormat="1" applyFont="1" applyFill="1" applyBorder="1" applyAlignment="1">
      <alignment vertical="center"/>
    </xf>
    <xf numFmtId="14" fontId="23" fillId="17" borderId="13" xfId="0" applyNumberFormat="1" applyFont="1" applyFill="1" applyBorder="1" applyAlignment="1">
      <alignment vertical="center"/>
    </xf>
    <xf numFmtId="14" fontId="63" fillId="0" borderId="13" xfId="46" applyNumberFormat="1" applyFont="1" applyFill="1" applyBorder="1" applyAlignment="1">
      <alignment vertical="center"/>
    </xf>
    <xf numFmtId="165" fontId="63" fillId="45" borderId="13" xfId="46" applyNumberFormat="1" applyFont="1" applyFill="1" applyBorder="1" applyAlignment="1">
      <alignment vertical="center" wrapText="1"/>
    </xf>
    <xf numFmtId="14" fontId="63" fillId="45" borderId="13" xfId="46" applyNumberFormat="1" applyFont="1" applyFill="1" applyBorder="1" applyAlignment="1">
      <alignment vertical="center"/>
    </xf>
    <xf numFmtId="165" fontId="64" fillId="0" borderId="13" xfId="46" applyNumberFormat="1" applyFont="1" applyFill="1" applyBorder="1" applyAlignment="1">
      <alignment vertical="center" wrapText="1"/>
    </xf>
    <xf numFmtId="14" fontId="63" fillId="35" borderId="13" xfId="46" applyNumberFormat="1" applyFont="1" applyFill="1" applyBorder="1" applyAlignment="1">
      <alignment vertical="center"/>
    </xf>
    <xf numFmtId="165" fontId="64" fillId="12" borderId="13" xfId="46" applyNumberFormat="1" applyFont="1" applyFill="1" applyBorder="1" applyAlignment="1">
      <alignment vertical="center" wrapText="1"/>
    </xf>
    <xf numFmtId="165" fontId="64" fillId="12" borderId="0" xfId="46" applyNumberFormat="1" applyFont="1" applyFill="1" applyAlignment="1">
      <alignment/>
    </xf>
    <xf numFmtId="165" fontId="63" fillId="12" borderId="13" xfId="46" applyNumberFormat="1" applyFont="1" applyFill="1" applyBorder="1" applyAlignment="1">
      <alignment vertical="center" wrapText="1"/>
    </xf>
    <xf numFmtId="165" fontId="63" fillId="13" borderId="13" xfId="46" applyNumberFormat="1" applyFont="1" applyFill="1" applyBorder="1" applyAlignment="1">
      <alignment vertical="center" wrapText="1"/>
    </xf>
    <xf numFmtId="165" fontId="63" fillId="36" borderId="13" xfId="46" applyNumberFormat="1" applyFont="1" applyFill="1" applyBorder="1" applyAlignment="1">
      <alignment vertical="center" wrapText="1"/>
    </xf>
    <xf numFmtId="165" fontId="63" fillId="37" borderId="13" xfId="46" applyNumberFormat="1" applyFont="1" applyFill="1" applyBorder="1" applyAlignment="1">
      <alignment vertical="center" wrapText="1"/>
    </xf>
    <xf numFmtId="0" fontId="17" fillId="4" borderId="16" xfId="54" applyFont="1" applyFill="1" applyBorder="1" applyAlignment="1">
      <alignment horizontal="center" vertical="center" wrapText="1"/>
      <protection/>
    </xf>
    <xf numFmtId="0" fontId="17" fillId="4" borderId="17" xfId="54" applyFont="1" applyFill="1" applyBorder="1" applyAlignment="1">
      <alignment horizontal="center" vertical="center" wrapText="1"/>
      <protection/>
    </xf>
    <xf numFmtId="0" fontId="17" fillId="4" borderId="27" xfId="54" applyFont="1" applyFill="1" applyBorder="1" applyAlignment="1">
      <alignment horizontal="center" vertical="center" wrapText="1"/>
      <protection/>
    </xf>
    <xf numFmtId="0" fontId="17" fillId="4" borderId="28" xfId="54" applyFont="1" applyFill="1" applyBorder="1" applyAlignment="1">
      <alignment horizontal="center" vertical="center" wrapText="1"/>
      <protection/>
    </xf>
    <xf numFmtId="3" fontId="17" fillId="7" borderId="13" xfId="54" applyNumberFormat="1" applyFont="1" applyFill="1" applyBorder="1" applyAlignment="1">
      <alignment horizontal="center" vertical="center"/>
      <protection/>
    </xf>
    <xf numFmtId="3" fontId="17" fillId="7" borderId="13" xfId="54" applyNumberFormat="1" applyFont="1" applyFill="1" applyBorder="1" applyAlignment="1">
      <alignment horizontal="center" vertical="center" wrapText="1"/>
      <protection/>
    </xf>
    <xf numFmtId="0" fontId="17" fillId="7" borderId="13" xfId="54" applyFont="1" applyFill="1" applyBorder="1" applyAlignment="1">
      <alignment horizontal="center" vertical="center" wrapText="1"/>
      <protection/>
    </xf>
    <xf numFmtId="166" fontId="17" fillId="7" borderId="13" xfId="54" applyNumberFormat="1" applyFont="1" applyFill="1" applyBorder="1" applyAlignment="1">
      <alignment horizontal="center" vertical="center"/>
      <protection/>
    </xf>
    <xf numFmtId="165" fontId="58" fillId="42" borderId="13" xfId="46" applyNumberFormat="1" applyFont="1" applyFill="1" applyBorder="1" applyAlignment="1">
      <alignment horizontal="center" vertical="center" wrapText="1"/>
    </xf>
    <xf numFmtId="165" fontId="58" fillId="42" borderId="29" xfId="46" applyNumberFormat="1" applyFont="1" applyFill="1" applyBorder="1" applyAlignment="1">
      <alignment horizontal="center" vertical="center" wrapText="1"/>
    </xf>
    <xf numFmtId="165" fontId="58" fillId="42" borderId="22" xfId="46" applyNumberFormat="1" applyFont="1" applyFill="1" applyBorder="1" applyAlignment="1">
      <alignment horizontal="center" vertical="center" wrapText="1"/>
    </xf>
    <xf numFmtId="3" fontId="57" fillId="0" borderId="30" xfId="46" applyNumberFormat="1" applyFont="1" applyBorder="1" applyAlignment="1">
      <alignment horizontal="center" vertical="center" wrapText="1"/>
    </xf>
    <xf numFmtId="3" fontId="57" fillId="0" borderId="31" xfId="46" applyNumberFormat="1" applyFont="1" applyBorder="1" applyAlignment="1">
      <alignment horizontal="center" vertical="center" wrapText="1"/>
    </xf>
    <xf numFmtId="3" fontId="57" fillId="0" borderId="32" xfId="46" applyNumberFormat="1" applyFont="1" applyBorder="1" applyAlignment="1">
      <alignment horizontal="center" vertical="center" wrapText="1"/>
    </xf>
    <xf numFmtId="165" fontId="60" fillId="42" borderId="29" xfId="46" applyNumberFormat="1" applyFont="1" applyFill="1" applyBorder="1" applyAlignment="1">
      <alignment horizontal="center"/>
    </xf>
    <xf numFmtId="165" fontId="60" fillId="42" borderId="22" xfId="46" applyNumberFormat="1" applyFont="1" applyFill="1" applyBorder="1" applyAlignment="1">
      <alignment horizontal="center"/>
    </xf>
    <xf numFmtId="165" fontId="60" fillId="42" borderId="29" xfId="46" applyNumberFormat="1" applyFont="1" applyFill="1" applyBorder="1" applyAlignment="1">
      <alignment horizontal="center" vertical="center"/>
    </xf>
    <xf numFmtId="165" fontId="60" fillId="42" borderId="22" xfId="46" applyNumberFormat="1" applyFont="1" applyFill="1" applyBorder="1" applyAlignment="1">
      <alignment horizontal="center" vertical="center"/>
    </xf>
    <xf numFmtId="165" fontId="58" fillId="0" borderId="13" xfId="46" applyNumberFormat="1" applyFont="1" applyFill="1" applyBorder="1" applyAlignment="1">
      <alignment horizontal="center" vertical="center" wrapText="1"/>
    </xf>
    <xf numFmtId="165" fontId="58" fillId="35" borderId="29" xfId="46" applyNumberFormat="1" applyFont="1" applyFill="1" applyBorder="1" applyAlignment="1">
      <alignment horizontal="center" vertical="center" wrapText="1"/>
    </xf>
    <xf numFmtId="165" fontId="58" fillId="35" borderId="22" xfId="46" applyNumberFormat="1" applyFont="1" applyFill="1" applyBorder="1" applyAlignment="1">
      <alignment horizontal="center" vertical="center" wrapText="1"/>
    </xf>
    <xf numFmtId="165" fontId="58" fillId="0" borderId="21" xfId="46" applyNumberFormat="1" applyFont="1" applyFill="1" applyBorder="1" applyAlignment="1">
      <alignment horizontal="center" vertical="center" wrapText="1"/>
    </xf>
    <xf numFmtId="165" fontId="58" fillId="0" borderId="26" xfId="46" applyNumberFormat="1" applyFont="1" applyFill="1" applyBorder="1" applyAlignment="1">
      <alignment horizontal="center" vertical="center" wrapText="1"/>
    </xf>
    <xf numFmtId="165" fontId="58" fillId="0" borderId="33" xfId="46" applyNumberFormat="1" applyFont="1" applyFill="1" applyBorder="1" applyAlignment="1">
      <alignment horizontal="center" vertical="center" wrapText="1"/>
    </xf>
    <xf numFmtId="165" fontId="60" fillId="42" borderId="29" xfId="46" applyNumberFormat="1" applyFont="1" applyFill="1" applyBorder="1" applyAlignment="1">
      <alignment horizontal="center" vertical="center" wrapText="1"/>
    </xf>
    <xf numFmtId="165" fontId="60" fillId="42" borderId="22" xfId="46" applyNumberFormat="1" applyFont="1" applyFill="1" applyBorder="1" applyAlignment="1">
      <alignment horizontal="center" vertical="center" wrapText="1"/>
    </xf>
    <xf numFmtId="165" fontId="59" fillId="0" borderId="21" xfId="46" applyNumberFormat="1" applyFont="1" applyFill="1" applyBorder="1" applyAlignment="1">
      <alignment horizontal="center" vertical="center" wrapText="1"/>
    </xf>
    <xf numFmtId="165" fontId="59" fillId="0" borderId="33" xfId="46" applyNumberFormat="1" applyFont="1" applyFill="1" applyBorder="1" applyAlignment="1">
      <alignment horizontal="center" vertical="center" wrapText="1"/>
    </xf>
    <xf numFmtId="165" fontId="59" fillId="0" borderId="26" xfId="46" applyNumberFormat="1" applyFont="1" applyFill="1" applyBorder="1" applyAlignment="1">
      <alignment horizontal="center" vertical="center" wrapText="1"/>
    </xf>
    <xf numFmtId="0" fontId="56" fillId="33" borderId="29" xfId="0" applyFont="1" applyFill="1" applyBorder="1" applyAlignment="1">
      <alignment horizontal="left" wrapText="1"/>
    </xf>
    <xf numFmtId="0" fontId="56" fillId="33" borderId="34" xfId="0" applyFont="1" applyFill="1" applyBorder="1" applyAlignment="1">
      <alignment horizontal="left" wrapText="1"/>
    </xf>
    <xf numFmtId="0" fontId="56" fillId="43" borderId="29" xfId="0" applyFont="1" applyFill="1" applyBorder="1" applyAlignment="1">
      <alignment horizontal="left" wrapText="1"/>
    </xf>
    <xf numFmtId="0" fontId="56" fillId="43" borderId="34" xfId="0" applyFont="1" applyFill="1" applyBorder="1" applyAlignment="1">
      <alignment horizontal="left" wrapText="1"/>
    </xf>
    <xf numFmtId="0" fontId="56" fillId="50" borderId="29" xfId="0" applyFont="1" applyFill="1" applyBorder="1" applyAlignment="1">
      <alignment horizontal="left" wrapText="1"/>
    </xf>
    <xf numFmtId="0" fontId="56" fillId="50" borderId="34" xfId="0" applyFont="1" applyFill="1" applyBorder="1" applyAlignment="1">
      <alignment horizontal="left" wrapText="1"/>
    </xf>
    <xf numFmtId="0" fontId="68" fillId="0" borderId="24" xfId="0" applyFont="1" applyBorder="1" applyAlignment="1">
      <alignment horizontal="center" wrapText="1"/>
    </xf>
    <xf numFmtId="0" fontId="68" fillId="0" borderId="14" xfId="0" applyFont="1" applyBorder="1" applyAlignment="1">
      <alignment horizontal="center" wrapText="1"/>
    </xf>
    <xf numFmtId="0" fontId="68" fillId="0" borderId="35" xfId="0" applyFont="1" applyBorder="1" applyAlignment="1">
      <alignment horizontal="center" wrapText="1"/>
    </xf>
    <xf numFmtId="0" fontId="55" fillId="0" borderId="24" xfId="0" applyFont="1" applyBorder="1" applyAlignment="1">
      <alignment horizontal="center"/>
    </xf>
    <xf numFmtId="0" fontId="55" fillId="0" borderId="35" xfId="0" applyFont="1" applyBorder="1" applyAlignment="1">
      <alignment horizontal="center"/>
    </xf>
    <xf numFmtId="0" fontId="55" fillId="0" borderId="14" xfId="0" applyFont="1" applyBorder="1" applyAlignment="1">
      <alignment horizontal="center"/>
    </xf>
    <xf numFmtId="0" fontId="55" fillId="0" borderId="36" xfId="0" applyFont="1" applyBorder="1" applyAlignment="1">
      <alignment horizontal="center"/>
    </xf>
    <xf numFmtId="0" fontId="55" fillId="0" borderId="37" xfId="0" applyFont="1" applyBorder="1" applyAlignment="1">
      <alignment horizontal="center" wrapText="1"/>
    </xf>
    <xf numFmtId="0" fontId="55" fillId="0" borderId="14" xfId="0" applyFont="1" applyBorder="1" applyAlignment="1">
      <alignment horizontal="center" wrapText="1"/>
    </xf>
    <xf numFmtId="0" fontId="55" fillId="0" borderId="35" xfId="0" applyFont="1" applyBorder="1" applyAlignment="1">
      <alignment horizontal="center" wrapText="1"/>
    </xf>
    <xf numFmtId="0" fontId="55" fillId="0" borderId="24" xfId="0" applyFont="1" applyBorder="1" applyAlignment="1">
      <alignment horizontal="center" wrapText="1"/>
    </xf>
    <xf numFmtId="0" fontId="55" fillId="0" borderId="24" xfId="0" applyFont="1" applyBorder="1" applyAlignment="1">
      <alignment wrapText="1"/>
    </xf>
    <xf numFmtId="0" fontId="55" fillId="0" borderId="35" xfId="0" applyFont="1" applyBorder="1" applyAlignment="1">
      <alignment wrapText="1"/>
    </xf>
    <xf numFmtId="0" fontId="55" fillId="0" borderId="14" xfId="0" applyFont="1" applyBorder="1" applyAlignment="1">
      <alignment wrapText="1"/>
    </xf>
    <xf numFmtId="0" fontId="55" fillId="57" borderId="24" xfId="0" applyFont="1" applyFill="1" applyBorder="1" applyAlignment="1">
      <alignment wrapText="1"/>
    </xf>
    <xf numFmtId="0" fontId="55" fillId="57" borderId="14" xfId="0" applyFont="1" applyFill="1" applyBorder="1" applyAlignment="1">
      <alignment wrapText="1"/>
    </xf>
    <xf numFmtId="0" fontId="56" fillId="33" borderId="24" xfId="0" applyFont="1" applyFill="1" applyBorder="1" applyAlignment="1">
      <alignment wrapText="1"/>
    </xf>
    <xf numFmtId="0" fontId="56" fillId="33" borderId="14" xfId="0" applyFont="1" applyFill="1" applyBorder="1" applyAlignment="1">
      <alignment wrapText="1"/>
    </xf>
    <xf numFmtId="0" fontId="56" fillId="33" borderId="35" xfId="0" applyFont="1" applyFill="1" applyBorder="1" applyAlignment="1">
      <alignment wrapText="1"/>
    </xf>
    <xf numFmtId="0" fontId="55" fillId="33" borderId="24" xfId="0" applyFont="1" applyFill="1" applyBorder="1" applyAlignment="1">
      <alignment wrapText="1"/>
    </xf>
    <xf numFmtId="0" fontId="55" fillId="33" borderId="35" xfId="0" applyFont="1" applyFill="1" applyBorder="1" applyAlignment="1">
      <alignment wrapText="1"/>
    </xf>
    <xf numFmtId="0" fontId="55" fillId="33" borderId="14" xfId="0" applyFont="1" applyFill="1" applyBorder="1" applyAlignment="1">
      <alignment wrapText="1"/>
    </xf>
    <xf numFmtId="0" fontId="56" fillId="33" borderId="24" xfId="0" applyFont="1" applyFill="1" applyBorder="1" applyAlignment="1">
      <alignment/>
    </xf>
    <xf numFmtId="0" fontId="56" fillId="33" borderId="35" xfId="0" applyFont="1" applyFill="1" applyBorder="1" applyAlignment="1">
      <alignment/>
    </xf>
    <xf numFmtId="0" fontId="55" fillId="33" borderId="12" xfId="0" applyFont="1" applyFill="1" applyBorder="1" applyAlignment="1">
      <alignment wrapText="1"/>
    </xf>
    <xf numFmtId="0" fontId="55" fillId="33" borderId="38" xfId="0" applyFont="1" applyFill="1" applyBorder="1" applyAlignment="1">
      <alignment wrapText="1"/>
    </xf>
    <xf numFmtId="0" fontId="55" fillId="33" borderId="39" xfId="0" applyFont="1" applyFill="1" applyBorder="1" applyAlignment="1">
      <alignment wrapText="1"/>
    </xf>
    <xf numFmtId="0" fontId="56" fillId="33" borderId="14" xfId="0" applyFont="1" applyFill="1" applyBorder="1" applyAlignment="1">
      <alignment/>
    </xf>
    <xf numFmtId="0" fontId="55" fillId="34" borderId="24" xfId="0" applyFont="1" applyFill="1" applyBorder="1" applyAlignment="1">
      <alignment wrapText="1"/>
    </xf>
    <xf numFmtId="0" fontId="55" fillId="34" borderId="35" xfId="0" applyFont="1" applyFill="1" applyBorder="1" applyAlignment="1">
      <alignment wrapText="1"/>
    </xf>
    <xf numFmtId="0" fontId="55" fillId="34" borderId="14" xfId="0" applyFont="1" applyFill="1" applyBorder="1" applyAlignment="1">
      <alignment wrapText="1"/>
    </xf>
    <xf numFmtId="165" fontId="63" fillId="35" borderId="21" xfId="46" applyNumberFormat="1" applyFont="1" applyFill="1" applyBorder="1" applyAlignment="1">
      <alignment vertical="center"/>
    </xf>
    <xf numFmtId="165" fontId="63" fillId="35" borderId="33" xfId="46" applyNumberFormat="1" applyFont="1" applyFill="1" applyBorder="1" applyAlignment="1">
      <alignment vertical="center"/>
    </xf>
    <xf numFmtId="165" fontId="63" fillId="35" borderId="26" xfId="46" applyNumberFormat="1" applyFont="1" applyFill="1" applyBorder="1" applyAlignment="1">
      <alignment vertical="center"/>
    </xf>
    <xf numFmtId="165" fontId="63" fillId="35" borderId="21" xfId="46" applyNumberFormat="1" applyFont="1" applyFill="1" applyBorder="1" applyAlignment="1">
      <alignment horizontal="center" vertical="center" wrapText="1"/>
    </xf>
    <xf numFmtId="165" fontId="63" fillId="35" borderId="33" xfId="46" applyNumberFormat="1" applyFont="1" applyFill="1" applyBorder="1" applyAlignment="1">
      <alignment horizontal="center" vertical="center" wrapText="1"/>
    </xf>
    <xf numFmtId="165" fontId="63" fillId="35" borderId="26" xfId="46" applyNumberFormat="1" applyFont="1" applyFill="1" applyBorder="1" applyAlignment="1">
      <alignment horizontal="center" vertical="center" wrapText="1"/>
    </xf>
    <xf numFmtId="165" fontId="63" fillId="47" borderId="21" xfId="46" applyNumberFormat="1" applyFont="1" applyFill="1" applyBorder="1" applyAlignment="1">
      <alignment horizontal="center" vertical="center"/>
    </xf>
    <xf numFmtId="165" fontId="63" fillId="47" borderId="33" xfId="46" applyNumberFormat="1" applyFont="1" applyFill="1" applyBorder="1" applyAlignment="1">
      <alignment horizontal="center" vertical="center"/>
    </xf>
    <xf numFmtId="165" fontId="63" fillId="47" borderId="26" xfId="46" applyNumberFormat="1" applyFont="1" applyFill="1" applyBorder="1" applyAlignment="1">
      <alignment horizontal="center" vertical="center"/>
    </xf>
    <xf numFmtId="165" fontId="59" fillId="47" borderId="21" xfId="46" applyNumberFormat="1" applyFont="1" applyFill="1" applyBorder="1" applyAlignment="1">
      <alignment horizontal="center" vertical="center" wrapText="1"/>
    </xf>
    <xf numFmtId="165" fontId="59" fillId="47" borderId="33" xfId="46" applyNumberFormat="1" applyFont="1" applyFill="1" applyBorder="1" applyAlignment="1">
      <alignment horizontal="center" vertical="center" wrapText="1"/>
    </xf>
    <xf numFmtId="165" fontId="59" fillId="47" borderId="26" xfId="46" applyNumberFormat="1" applyFont="1" applyFill="1" applyBorder="1" applyAlignment="1">
      <alignment horizontal="center" vertical="center" wrapText="1"/>
    </xf>
    <xf numFmtId="9" fontId="63" fillId="47" borderId="21" xfId="46" applyNumberFormat="1" applyFont="1" applyFill="1" applyBorder="1" applyAlignment="1">
      <alignment horizontal="center" vertical="center" wrapText="1"/>
    </xf>
    <xf numFmtId="9" fontId="63" fillId="47" borderId="33" xfId="46" applyNumberFormat="1" applyFont="1" applyFill="1" applyBorder="1" applyAlignment="1">
      <alignment horizontal="center" vertical="center" wrapText="1"/>
    </xf>
    <xf numFmtId="9" fontId="63" fillId="47" borderId="26" xfId="46" applyNumberFormat="1" applyFont="1" applyFill="1" applyBorder="1" applyAlignment="1">
      <alignment horizontal="center" vertical="center" wrapText="1"/>
    </xf>
    <xf numFmtId="165" fontId="63" fillId="35" borderId="21" xfId="46" applyNumberFormat="1" applyFont="1" applyFill="1" applyBorder="1" applyAlignment="1">
      <alignment horizontal="center" vertical="center"/>
    </xf>
    <xf numFmtId="165" fontId="63" fillId="35" borderId="33" xfId="46" applyNumberFormat="1" applyFont="1" applyFill="1" applyBorder="1" applyAlignment="1">
      <alignment horizontal="center" vertical="center"/>
    </xf>
    <xf numFmtId="165" fontId="63" fillId="35" borderId="26" xfId="46" applyNumberFormat="1" applyFont="1" applyFill="1" applyBorder="1" applyAlignment="1">
      <alignment horizontal="center" vertical="center"/>
    </xf>
    <xf numFmtId="165" fontId="63" fillId="0" borderId="21" xfId="46" applyNumberFormat="1" applyFont="1" applyFill="1" applyBorder="1" applyAlignment="1">
      <alignment vertical="center" textRotation="255" wrapText="1"/>
    </xf>
    <xf numFmtId="165" fontId="63" fillId="0" borderId="33" xfId="46" applyNumberFormat="1" applyFont="1" applyFill="1" applyBorder="1" applyAlignment="1">
      <alignment vertical="center" textRotation="255" wrapText="1"/>
    </xf>
    <xf numFmtId="165" fontId="63" fillId="0" borderId="26" xfId="46" applyNumberFormat="1" applyFont="1" applyFill="1" applyBorder="1" applyAlignment="1">
      <alignment vertical="center" textRotation="255" wrapText="1"/>
    </xf>
    <xf numFmtId="165" fontId="63" fillId="0" borderId="21" xfId="46" applyNumberFormat="1" applyFont="1" applyFill="1" applyBorder="1" applyAlignment="1">
      <alignment horizontal="center" textRotation="255"/>
    </xf>
    <xf numFmtId="165" fontId="63" fillId="0" borderId="33" xfId="46" applyNumberFormat="1" applyFont="1" applyFill="1" applyBorder="1" applyAlignment="1">
      <alignment horizontal="center" textRotation="255"/>
    </xf>
    <xf numFmtId="165" fontId="63" fillId="0" borderId="26" xfId="46" applyNumberFormat="1" applyFont="1" applyFill="1" applyBorder="1" applyAlignment="1">
      <alignment horizontal="center" textRotation="255"/>
    </xf>
    <xf numFmtId="165" fontId="63" fillId="0" borderId="13" xfId="46" applyNumberFormat="1" applyFont="1" applyFill="1" applyBorder="1" applyAlignment="1">
      <alignment horizontal="center" textRotation="255"/>
    </xf>
    <xf numFmtId="165" fontId="63" fillId="35" borderId="21" xfId="46" applyNumberFormat="1" applyFont="1" applyFill="1" applyBorder="1" applyAlignment="1">
      <alignment horizontal="center" textRotation="255"/>
    </xf>
    <xf numFmtId="165" fontId="63" fillId="35" borderId="33" xfId="46" applyNumberFormat="1" applyFont="1" applyFill="1" applyBorder="1" applyAlignment="1">
      <alignment horizontal="center" textRotation="255"/>
    </xf>
    <xf numFmtId="165" fontId="63" fillId="35" borderId="26" xfId="46" applyNumberFormat="1" applyFont="1" applyFill="1" applyBorder="1" applyAlignment="1">
      <alignment horizontal="center" textRotation="255"/>
    </xf>
    <xf numFmtId="165" fontId="58" fillId="51" borderId="21" xfId="46" applyNumberFormat="1" applyFont="1" applyFill="1" applyBorder="1" applyAlignment="1">
      <alignment horizontal="center" vertical="center" wrapText="1"/>
    </xf>
    <xf numFmtId="165" fontId="58" fillId="51" borderId="33" xfId="46" applyNumberFormat="1" applyFont="1" applyFill="1" applyBorder="1" applyAlignment="1">
      <alignment horizontal="center" vertical="center" wrapText="1"/>
    </xf>
    <xf numFmtId="165" fontId="58" fillId="51" borderId="26" xfId="46" applyNumberFormat="1" applyFont="1" applyFill="1" applyBorder="1" applyAlignment="1">
      <alignment horizontal="center" vertical="center" wrapText="1"/>
    </xf>
    <xf numFmtId="165" fontId="58" fillId="6" borderId="21" xfId="46" applyNumberFormat="1" applyFont="1" applyFill="1" applyBorder="1" applyAlignment="1">
      <alignment horizontal="center" vertical="center" wrapText="1"/>
    </xf>
    <xf numFmtId="165" fontId="58" fillId="6" borderId="33" xfId="46" applyNumberFormat="1" applyFont="1" applyFill="1" applyBorder="1" applyAlignment="1">
      <alignment horizontal="center" vertical="center" wrapText="1"/>
    </xf>
    <xf numFmtId="165" fontId="58" fillId="6" borderId="26" xfId="46" applyNumberFormat="1" applyFont="1" applyFill="1" applyBorder="1" applyAlignment="1">
      <alignment horizontal="center" vertical="center" wrapText="1"/>
    </xf>
    <xf numFmtId="165" fontId="58" fillId="43" borderId="29" xfId="46" applyNumberFormat="1" applyFont="1" applyFill="1" applyBorder="1" applyAlignment="1">
      <alignment horizontal="center" vertical="center" wrapText="1"/>
    </xf>
    <xf numFmtId="165" fontId="58" fillId="43" borderId="22" xfId="46" applyNumberFormat="1" applyFont="1" applyFill="1" applyBorder="1" applyAlignment="1">
      <alignment horizontal="center" vertical="center" wrapText="1"/>
    </xf>
    <xf numFmtId="165" fontId="58" fillId="8" borderId="29" xfId="46" applyNumberFormat="1" applyFont="1" applyFill="1" applyBorder="1" applyAlignment="1">
      <alignment horizontal="center" vertical="center" wrapText="1"/>
    </xf>
    <xf numFmtId="165" fontId="58" fillId="8" borderId="22" xfId="46" applyNumberFormat="1" applyFont="1" applyFill="1" applyBorder="1" applyAlignment="1">
      <alignment horizontal="center" vertical="center" wrapText="1"/>
    </xf>
    <xf numFmtId="165" fontId="58" fillId="8" borderId="21" xfId="46" applyNumberFormat="1" applyFont="1" applyFill="1" applyBorder="1" applyAlignment="1">
      <alignment horizontal="center" vertical="center" wrapText="1"/>
    </xf>
    <xf numFmtId="165" fontId="58" fillId="8" borderId="33" xfId="46" applyNumberFormat="1" applyFont="1" applyFill="1" applyBorder="1" applyAlignment="1">
      <alignment horizontal="center" vertical="center" wrapText="1"/>
    </xf>
    <xf numFmtId="165" fontId="58" fillId="8" borderId="26" xfId="46" applyNumberFormat="1" applyFont="1" applyFill="1" applyBorder="1" applyAlignment="1">
      <alignment horizontal="center" vertical="center" wrapText="1"/>
    </xf>
    <xf numFmtId="165" fontId="58" fillId="40" borderId="29" xfId="46" applyNumberFormat="1" applyFont="1" applyFill="1" applyBorder="1" applyAlignment="1">
      <alignment horizontal="center" vertical="center" wrapText="1"/>
    </xf>
    <xf numFmtId="165" fontId="58" fillId="40" borderId="22" xfId="46" applyNumberFormat="1" applyFont="1" applyFill="1" applyBorder="1" applyAlignment="1">
      <alignment horizontal="center" vertical="center" wrapText="1"/>
    </xf>
    <xf numFmtId="165" fontId="58" fillId="40" borderId="21" xfId="46" applyNumberFormat="1" applyFont="1" applyFill="1" applyBorder="1" applyAlignment="1">
      <alignment horizontal="center" vertical="center" wrapText="1"/>
    </xf>
    <xf numFmtId="165" fontId="58" fillId="40" borderId="33" xfId="46" applyNumberFormat="1" applyFont="1" applyFill="1" applyBorder="1" applyAlignment="1">
      <alignment horizontal="center" vertical="center" wrapText="1"/>
    </xf>
    <xf numFmtId="165" fontId="58" fillId="40" borderId="26" xfId="46" applyNumberFormat="1" applyFont="1" applyFill="1" applyBorder="1" applyAlignment="1">
      <alignment horizontal="center" vertical="center" wrapText="1"/>
    </xf>
    <xf numFmtId="165" fontId="58" fillId="15" borderId="29" xfId="46" applyNumberFormat="1" applyFont="1" applyFill="1" applyBorder="1" applyAlignment="1">
      <alignment horizontal="center" vertical="center" wrapText="1"/>
    </xf>
    <xf numFmtId="165" fontId="58" fillId="15" borderId="22" xfId="46" applyNumberFormat="1" applyFont="1" applyFill="1" applyBorder="1" applyAlignment="1">
      <alignment horizontal="center" vertical="center" wrapText="1"/>
    </xf>
    <xf numFmtId="165" fontId="58" fillId="15" borderId="21" xfId="46" applyNumberFormat="1" applyFont="1" applyFill="1" applyBorder="1" applyAlignment="1">
      <alignment horizontal="center" vertical="center" wrapText="1"/>
    </xf>
    <xf numFmtId="165" fontId="58" fillId="15" borderId="33" xfId="46" applyNumberFormat="1" applyFont="1" applyFill="1" applyBorder="1" applyAlignment="1">
      <alignment horizontal="center" vertical="center" wrapText="1"/>
    </xf>
    <xf numFmtId="165" fontId="58" fillId="15" borderId="26" xfId="46" applyNumberFormat="1" applyFont="1" applyFill="1" applyBorder="1" applyAlignment="1">
      <alignment horizontal="center" vertical="center" wrapText="1"/>
    </xf>
    <xf numFmtId="165" fontId="58" fillId="46" borderId="29" xfId="46" applyNumberFormat="1" applyFont="1" applyFill="1" applyBorder="1" applyAlignment="1">
      <alignment horizontal="center" vertical="center" wrapText="1"/>
    </xf>
    <xf numFmtId="165" fontId="58" fillId="46" borderId="22" xfId="46" applyNumberFormat="1" applyFont="1" applyFill="1" applyBorder="1" applyAlignment="1">
      <alignment horizontal="center" vertical="center" wrapText="1"/>
    </xf>
    <xf numFmtId="165" fontId="64" fillId="42" borderId="29" xfId="46" applyNumberFormat="1" applyFont="1" applyFill="1" applyBorder="1" applyAlignment="1">
      <alignment horizontal="center"/>
    </xf>
    <xf numFmtId="165" fontId="64" fillId="42" borderId="22" xfId="46" applyNumberFormat="1" applyFont="1" applyFill="1" applyBorder="1" applyAlignment="1">
      <alignment horizontal="center"/>
    </xf>
    <xf numFmtId="165" fontId="63" fillId="9" borderId="21" xfId="46" applyNumberFormat="1" applyFont="1" applyFill="1" applyBorder="1" applyAlignment="1">
      <alignment horizontal="center"/>
    </xf>
    <xf numFmtId="165" fontId="63" fillId="9" borderId="26" xfId="46" applyNumberFormat="1" applyFont="1" applyFill="1" applyBorder="1" applyAlignment="1">
      <alignment horizontal="center"/>
    </xf>
    <xf numFmtId="165" fontId="59" fillId="9" borderId="21" xfId="46" applyNumberFormat="1" applyFont="1" applyFill="1" applyBorder="1" applyAlignment="1">
      <alignment horizontal="center" vertical="center" wrapText="1"/>
    </xf>
    <xf numFmtId="165" fontId="59" fillId="9" borderId="26" xfId="46" applyNumberFormat="1" applyFont="1" applyFill="1" applyBorder="1" applyAlignment="1">
      <alignment horizontal="center" vertical="center" wrapText="1"/>
    </xf>
    <xf numFmtId="165" fontId="58" fillId="43" borderId="21" xfId="46" applyNumberFormat="1" applyFont="1" applyFill="1" applyBorder="1" applyAlignment="1">
      <alignment horizontal="center" vertical="center" wrapText="1"/>
    </xf>
    <xf numFmtId="165" fontId="58" fillId="43" borderId="33" xfId="46" applyNumberFormat="1" applyFont="1" applyFill="1" applyBorder="1" applyAlignment="1">
      <alignment horizontal="center" vertical="center" wrapText="1"/>
    </xf>
    <xf numFmtId="165" fontId="58" fillId="43" borderId="26" xfId="46" applyNumberFormat="1" applyFont="1" applyFill="1" applyBorder="1" applyAlignment="1">
      <alignment horizontal="center" vertical="center" wrapText="1"/>
    </xf>
    <xf numFmtId="165" fontId="59" fillId="55" borderId="21" xfId="46" applyNumberFormat="1" applyFont="1" applyFill="1" applyBorder="1" applyAlignment="1">
      <alignment horizontal="center" vertical="center" wrapText="1"/>
    </xf>
    <xf numFmtId="165" fontId="59" fillId="55" borderId="33" xfId="46" applyNumberFormat="1" applyFont="1" applyFill="1" applyBorder="1" applyAlignment="1">
      <alignment horizontal="center" vertical="center" wrapText="1"/>
    </xf>
    <xf numFmtId="165" fontId="59" fillId="55" borderId="26" xfId="46" applyNumberFormat="1" applyFont="1" applyFill="1" applyBorder="1" applyAlignment="1">
      <alignment horizontal="center" vertical="center" wrapText="1"/>
    </xf>
    <xf numFmtId="165" fontId="58" fillId="50" borderId="13" xfId="46" applyNumberFormat="1" applyFont="1" applyFill="1" applyBorder="1" applyAlignment="1">
      <alignment horizontal="center" vertical="center" wrapText="1"/>
    </xf>
    <xf numFmtId="165" fontId="58" fillId="47" borderId="13" xfId="46" applyNumberFormat="1" applyFont="1" applyFill="1" applyBorder="1" applyAlignment="1">
      <alignment horizontal="center" vertical="center" wrapText="1"/>
    </xf>
    <xf numFmtId="165" fontId="58" fillId="51" borderId="13" xfId="46" applyNumberFormat="1" applyFont="1" applyFill="1" applyBorder="1" applyAlignment="1">
      <alignment horizontal="center" vertical="center" wrapText="1"/>
    </xf>
    <xf numFmtId="165" fontId="58" fillId="51" borderId="29" xfId="46" applyNumberFormat="1" applyFont="1" applyFill="1" applyBorder="1" applyAlignment="1">
      <alignment horizontal="center" vertical="center" wrapText="1"/>
    </xf>
    <xf numFmtId="165" fontId="58" fillId="51" borderId="22" xfId="46" applyNumberFormat="1" applyFont="1" applyFill="1" applyBorder="1" applyAlignment="1">
      <alignment horizontal="center" vertical="center" wrapText="1"/>
    </xf>
    <xf numFmtId="165" fontId="58" fillId="47" borderId="21" xfId="46" applyNumberFormat="1" applyFont="1" applyFill="1" applyBorder="1" applyAlignment="1">
      <alignment horizontal="center" vertical="center" wrapText="1"/>
    </xf>
    <xf numFmtId="165" fontId="58" fillId="47" borderId="33" xfId="46" applyNumberFormat="1" applyFont="1" applyFill="1" applyBorder="1" applyAlignment="1">
      <alignment horizontal="center" vertical="center" wrapText="1"/>
    </xf>
    <xf numFmtId="0" fontId="59" fillId="47" borderId="21" xfId="46" applyNumberFormat="1" applyFont="1" applyFill="1" applyBorder="1" applyAlignment="1">
      <alignment horizontal="center" vertical="center" wrapText="1"/>
    </xf>
    <xf numFmtId="0" fontId="59" fillId="47" borderId="33" xfId="46" applyNumberFormat="1" applyFont="1" applyFill="1" applyBorder="1" applyAlignment="1">
      <alignment horizontal="center" vertical="center" wrapText="1"/>
    </xf>
    <xf numFmtId="165" fontId="63" fillId="0" borderId="21" xfId="46" applyNumberFormat="1" applyFont="1" applyFill="1" applyBorder="1" applyAlignment="1">
      <alignment vertical="center"/>
    </xf>
    <xf numFmtId="165" fontId="63" fillId="0" borderId="26" xfId="46" applyNumberFormat="1" applyFont="1" applyFill="1" applyBorder="1" applyAlignment="1">
      <alignment vertical="center"/>
    </xf>
    <xf numFmtId="165" fontId="63" fillId="47" borderId="21" xfId="46" applyNumberFormat="1" applyFont="1" applyFill="1" applyBorder="1" applyAlignment="1">
      <alignment vertical="center"/>
    </xf>
    <xf numFmtId="165" fontId="63" fillId="47" borderId="33" xfId="46" applyNumberFormat="1" applyFont="1" applyFill="1" applyBorder="1" applyAlignment="1">
      <alignment vertical="center"/>
    </xf>
    <xf numFmtId="165" fontId="63" fillId="47" borderId="26" xfId="46" applyNumberFormat="1" applyFont="1" applyFill="1" applyBorder="1" applyAlignment="1">
      <alignment vertical="center"/>
    </xf>
    <xf numFmtId="0" fontId="17" fillId="40" borderId="13" xfId="54" applyFont="1" applyFill="1" applyBorder="1" applyAlignment="1">
      <alignment horizontal="center" vertical="center" wrapText="1"/>
      <protection/>
    </xf>
    <xf numFmtId="165" fontId="63" fillId="39" borderId="21" xfId="46" applyNumberFormat="1" applyFont="1" applyFill="1" applyBorder="1" applyAlignment="1">
      <alignment vertical="center" wrapText="1"/>
    </xf>
    <xf numFmtId="165" fontId="63" fillId="39" borderId="33" xfId="46" applyNumberFormat="1" applyFont="1" applyFill="1" applyBorder="1" applyAlignment="1">
      <alignment vertical="center" wrapText="1"/>
    </xf>
    <xf numFmtId="165" fontId="63" fillId="39" borderId="26" xfId="46" applyNumberFormat="1" applyFont="1" applyFill="1" applyBorder="1" applyAlignment="1">
      <alignment vertical="center" wrapText="1"/>
    </xf>
    <xf numFmtId="0" fontId="17" fillId="48" borderId="13" xfId="54" applyFont="1" applyFill="1" applyBorder="1" applyAlignment="1">
      <alignment horizontal="center" vertical="center" textRotation="90" wrapText="1"/>
      <protection/>
    </xf>
    <xf numFmtId="0" fontId="17" fillId="48" borderId="13" xfId="54" applyFont="1" applyFill="1" applyBorder="1" applyAlignment="1">
      <alignment horizontal="center" vertical="center" wrapText="1"/>
      <protection/>
    </xf>
    <xf numFmtId="165" fontId="60" fillId="39" borderId="40" xfId="46" applyNumberFormat="1" applyFont="1" applyFill="1" applyBorder="1" applyAlignment="1">
      <alignment horizontal="center" vertical="center"/>
    </xf>
    <xf numFmtId="165" fontId="60" fillId="39" borderId="28" xfId="46" applyNumberFormat="1" applyFont="1" applyFill="1" applyBorder="1" applyAlignment="1">
      <alignment horizontal="center" vertical="center"/>
    </xf>
    <xf numFmtId="165" fontId="58" fillId="39" borderId="21" xfId="46" applyNumberFormat="1" applyFont="1" applyFill="1" applyBorder="1" applyAlignment="1">
      <alignment horizontal="center" vertical="center" wrapText="1"/>
    </xf>
    <xf numFmtId="165" fontId="58" fillId="39" borderId="33" xfId="46" applyNumberFormat="1" applyFont="1" applyFill="1" applyBorder="1" applyAlignment="1">
      <alignment horizontal="center" vertical="center" wrapText="1"/>
    </xf>
    <xf numFmtId="165" fontId="58" fillId="39" borderId="26" xfId="46" applyNumberFormat="1" applyFont="1" applyFill="1" applyBorder="1" applyAlignment="1">
      <alignment horizontal="center" vertical="center" wrapText="1"/>
    </xf>
    <xf numFmtId="165" fontId="58" fillId="17" borderId="21" xfId="46" applyNumberFormat="1" applyFont="1" applyFill="1" applyBorder="1" applyAlignment="1">
      <alignment horizontal="center" vertical="center" wrapText="1"/>
    </xf>
    <xf numFmtId="165" fontId="58" fillId="17" borderId="33" xfId="46" applyNumberFormat="1" applyFont="1" applyFill="1" applyBorder="1" applyAlignment="1">
      <alignment horizontal="center" vertical="center" wrapText="1"/>
    </xf>
    <xf numFmtId="165" fontId="58" fillId="17" borderId="26" xfId="46" applyNumberFormat="1" applyFont="1" applyFill="1" applyBorder="1" applyAlignment="1">
      <alignment horizontal="center" vertical="center" wrapText="1"/>
    </xf>
    <xf numFmtId="165" fontId="64" fillId="44" borderId="29" xfId="46" applyNumberFormat="1" applyFont="1" applyFill="1" applyBorder="1" applyAlignment="1">
      <alignment horizontal="center" vertical="center" wrapText="1"/>
    </xf>
    <xf numFmtId="165" fontId="64" fillId="44" borderId="22" xfId="46" applyNumberFormat="1" applyFont="1" applyFill="1" applyBorder="1" applyAlignment="1">
      <alignment horizontal="center" vertical="center" wrapText="1"/>
    </xf>
    <xf numFmtId="165" fontId="58" fillId="45" borderId="21" xfId="46" applyNumberFormat="1" applyFont="1" applyFill="1" applyBorder="1" applyAlignment="1">
      <alignment horizontal="center" vertical="center" wrapText="1"/>
    </xf>
    <xf numFmtId="165" fontId="58" fillId="45" borderId="33" xfId="46" applyNumberFormat="1" applyFont="1" applyFill="1" applyBorder="1" applyAlignment="1">
      <alignment horizontal="center" vertical="center" wrapText="1"/>
    </xf>
    <xf numFmtId="165" fontId="58" fillId="45" borderId="26" xfId="46" applyNumberFormat="1" applyFont="1" applyFill="1" applyBorder="1" applyAlignment="1">
      <alignment horizontal="center" vertical="center" wrapText="1"/>
    </xf>
    <xf numFmtId="165" fontId="63" fillId="0" borderId="21" xfId="46" applyNumberFormat="1" applyFont="1" applyFill="1" applyBorder="1" applyAlignment="1">
      <alignment horizontal="center" vertical="center"/>
    </xf>
    <xf numFmtId="165" fontId="63" fillId="0" borderId="33" xfId="46" applyNumberFormat="1" applyFont="1" applyFill="1" applyBorder="1" applyAlignment="1">
      <alignment horizontal="center" vertical="center"/>
    </xf>
    <xf numFmtId="165" fontId="63" fillId="0" borderId="26" xfId="46" applyNumberFormat="1" applyFont="1" applyFill="1" applyBorder="1" applyAlignment="1">
      <alignment horizontal="center" vertical="center"/>
    </xf>
    <xf numFmtId="0" fontId="64" fillId="0" borderId="21" xfId="0" applyFont="1" applyBorder="1" applyAlignment="1">
      <alignment horizontal="center" textRotation="255" wrapText="1"/>
    </xf>
    <xf numFmtId="0" fontId="64" fillId="0" borderId="33" xfId="0" applyFont="1" applyBorder="1" applyAlignment="1">
      <alignment horizontal="center" textRotation="255" wrapText="1"/>
    </xf>
    <xf numFmtId="0" fontId="64" fillId="0" borderId="26" xfId="0" applyFont="1" applyBorder="1" applyAlignment="1">
      <alignment horizontal="center" textRotation="255" wrapText="1"/>
    </xf>
    <xf numFmtId="165" fontId="59" fillId="39" borderId="21" xfId="46" applyNumberFormat="1" applyFont="1" applyFill="1" applyBorder="1" applyAlignment="1">
      <alignment horizontal="center" vertical="center" wrapText="1"/>
    </xf>
    <xf numFmtId="165" fontId="59" fillId="39" borderId="33" xfId="46" applyNumberFormat="1" applyFont="1" applyFill="1" applyBorder="1" applyAlignment="1">
      <alignment horizontal="center" vertical="center" wrapText="1"/>
    </xf>
    <xf numFmtId="165" fontId="59" fillId="39" borderId="26" xfId="46" applyNumberFormat="1" applyFont="1" applyFill="1" applyBorder="1" applyAlignment="1">
      <alignment horizontal="center" vertical="center" wrapText="1"/>
    </xf>
    <xf numFmtId="165" fontId="63" fillId="17" borderId="21" xfId="46" applyNumberFormat="1" applyFont="1" applyFill="1" applyBorder="1" applyAlignment="1">
      <alignment horizontal="center" vertical="center"/>
    </xf>
    <xf numFmtId="165" fontId="63" fillId="17" borderId="33" xfId="46" applyNumberFormat="1" applyFont="1" applyFill="1" applyBorder="1" applyAlignment="1">
      <alignment horizontal="center" vertical="center"/>
    </xf>
    <xf numFmtId="165" fontId="63" fillId="17" borderId="26" xfId="46" applyNumberFormat="1" applyFont="1" applyFill="1" applyBorder="1" applyAlignment="1">
      <alignment horizontal="center" vertical="center"/>
    </xf>
    <xf numFmtId="0" fontId="17" fillId="48" borderId="13" xfId="0" applyFont="1" applyFill="1" applyBorder="1" applyAlignment="1">
      <alignment horizontal="center" vertical="center" wrapText="1"/>
    </xf>
    <xf numFmtId="166" fontId="17" fillId="48" borderId="13" xfId="54" applyNumberFormat="1" applyFont="1" applyFill="1" applyBorder="1" applyAlignment="1">
      <alignment horizontal="center" vertical="center"/>
      <protection/>
    </xf>
    <xf numFmtId="0" fontId="17" fillId="48" borderId="13" xfId="0" applyFont="1" applyFill="1" applyBorder="1" applyAlignment="1">
      <alignment horizontal="center" vertical="center"/>
    </xf>
    <xf numFmtId="0" fontId="63" fillId="55" borderId="21" xfId="0" applyFont="1" applyFill="1" applyBorder="1" applyAlignment="1">
      <alignment vertical="center"/>
    </xf>
    <xf numFmtId="0" fontId="63" fillId="55" borderId="33" xfId="0" applyFont="1" applyFill="1" applyBorder="1" applyAlignment="1">
      <alignment vertical="center"/>
    </xf>
    <xf numFmtId="0" fontId="63" fillId="55" borderId="26" xfId="0" applyFont="1" applyFill="1" applyBorder="1" applyAlignment="1">
      <alignment vertical="center"/>
    </xf>
    <xf numFmtId="165" fontId="63" fillId="55" borderId="21" xfId="46" applyNumberFormat="1" applyFont="1" applyFill="1" applyBorder="1" applyAlignment="1">
      <alignment horizontal="center" vertical="center"/>
    </xf>
    <xf numFmtId="165" fontId="63" fillId="55" borderId="33" xfId="46" applyNumberFormat="1" applyFont="1" applyFill="1" applyBorder="1" applyAlignment="1">
      <alignment horizontal="center" vertical="center"/>
    </xf>
    <xf numFmtId="165" fontId="63" fillId="55" borderId="26" xfId="46" applyNumberFormat="1" applyFont="1" applyFill="1" applyBorder="1" applyAlignment="1">
      <alignment horizontal="center" vertical="center"/>
    </xf>
    <xf numFmtId="0" fontId="63" fillId="55" borderId="21" xfId="0" applyFont="1" applyFill="1" applyBorder="1" applyAlignment="1">
      <alignment vertical="center" wrapText="1"/>
    </xf>
    <xf numFmtId="0" fontId="63" fillId="55" borderId="33" xfId="0" applyFont="1" applyFill="1" applyBorder="1" applyAlignment="1">
      <alignment vertical="center" wrapText="1"/>
    </xf>
    <xf numFmtId="0" fontId="63" fillId="55" borderId="26" xfId="0" applyFont="1" applyFill="1" applyBorder="1" applyAlignment="1">
      <alignment vertical="center" wrapText="1"/>
    </xf>
    <xf numFmtId="0" fontId="63" fillId="0" borderId="21" xfId="0" applyFont="1" applyBorder="1" applyAlignment="1">
      <alignment vertical="center" wrapText="1"/>
    </xf>
    <xf numFmtId="0" fontId="63" fillId="0" borderId="26" xfId="0" applyFont="1" applyBorder="1" applyAlignment="1">
      <alignment vertical="center" wrapText="1"/>
    </xf>
    <xf numFmtId="0" fontId="63" fillId="9" borderId="21" xfId="0" applyFont="1" applyFill="1" applyBorder="1" applyAlignment="1">
      <alignment vertical="center" wrapText="1"/>
    </xf>
    <xf numFmtId="0" fontId="63" fillId="9" borderId="26" xfId="0" applyFont="1" applyFill="1" applyBorder="1" applyAlignment="1">
      <alignment vertical="center" wrapText="1"/>
    </xf>
    <xf numFmtId="0" fontId="63" fillId="9" borderId="21" xfId="0" applyFont="1" applyFill="1" applyBorder="1" applyAlignment="1">
      <alignment horizontal="center" vertical="center" wrapText="1"/>
    </xf>
    <xf numFmtId="0" fontId="63" fillId="9" borderId="26" xfId="0" applyFont="1" applyFill="1" applyBorder="1" applyAlignment="1">
      <alignment horizontal="center" vertical="center" wrapText="1"/>
    </xf>
    <xf numFmtId="165" fontId="63" fillId="9" borderId="21" xfId="46" applyNumberFormat="1" applyFont="1" applyFill="1" applyBorder="1" applyAlignment="1">
      <alignment horizontal="center" vertical="center"/>
    </xf>
    <xf numFmtId="165" fontId="63" fillId="9" borderId="26" xfId="46" applyNumberFormat="1" applyFont="1" applyFill="1" applyBorder="1" applyAlignment="1">
      <alignment horizontal="center" vertical="center"/>
    </xf>
    <xf numFmtId="0" fontId="63" fillId="39" borderId="21" xfId="0" applyFont="1" applyFill="1" applyBorder="1" applyAlignment="1">
      <alignment horizontal="center" vertical="center" wrapText="1"/>
    </xf>
    <xf numFmtId="0" fontId="63" fillId="39" borderId="33" xfId="0" applyFont="1" applyFill="1" applyBorder="1" applyAlignment="1">
      <alignment horizontal="center" vertical="center" wrapText="1"/>
    </xf>
    <xf numFmtId="0" fontId="63" fillId="39" borderId="26" xfId="0" applyFont="1" applyFill="1" applyBorder="1" applyAlignment="1">
      <alignment horizontal="center" vertical="center" wrapText="1"/>
    </xf>
    <xf numFmtId="165" fontId="63" fillId="0" borderId="21" xfId="46" applyNumberFormat="1" applyFont="1" applyFill="1" applyBorder="1" applyAlignment="1">
      <alignment horizontal="center" vertical="center" wrapText="1"/>
    </xf>
    <xf numFmtId="165" fontId="63" fillId="0" borderId="26" xfId="46" applyNumberFormat="1" applyFont="1" applyFill="1" applyBorder="1" applyAlignment="1">
      <alignment horizontal="center" vertical="center" wrapText="1"/>
    </xf>
    <xf numFmtId="0" fontId="63" fillId="39" borderId="21" xfId="0" applyFont="1" applyFill="1" applyBorder="1" applyAlignment="1">
      <alignment vertical="center"/>
    </xf>
    <xf numFmtId="0" fontId="63" fillId="39" borderId="26" xfId="0" applyFont="1" applyFill="1" applyBorder="1" applyAlignment="1">
      <alignment vertical="center"/>
    </xf>
    <xf numFmtId="9" fontId="63" fillId="47" borderId="21" xfId="46" applyNumberFormat="1" applyFont="1" applyFill="1" applyBorder="1" applyAlignment="1">
      <alignment horizontal="center" vertical="center"/>
    </xf>
    <xf numFmtId="9" fontId="63" fillId="47" borderId="33" xfId="46" applyNumberFormat="1" applyFont="1" applyFill="1" applyBorder="1" applyAlignment="1">
      <alignment horizontal="center" vertical="center"/>
    </xf>
    <xf numFmtId="9" fontId="63" fillId="47" borderId="26" xfId="46" applyNumberFormat="1" applyFont="1" applyFill="1" applyBorder="1" applyAlignment="1">
      <alignment horizontal="center" vertical="center"/>
    </xf>
    <xf numFmtId="165" fontId="63" fillId="55" borderId="21" xfId="46" applyNumberFormat="1" applyFont="1" applyFill="1" applyBorder="1" applyAlignment="1">
      <alignment vertical="center"/>
    </xf>
    <xf numFmtId="165" fontId="63" fillId="55" borderId="33" xfId="46" applyNumberFormat="1" applyFont="1" applyFill="1" applyBorder="1" applyAlignment="1">
      <alignment vertical="center"/>
    </xf>
    <xf numFmtId="165" fontId="63" fillId="55" borderId="26" xfId="46" applyNumberFormat="1" applyFont="1" applyFill="1" applyBorder="1" applyAlignment="1">
      <alignment vertical="center"/>
    </xf>
    <xf numFmtId="165" fontId="58" fillId="49" borderId="29" xfId="46" applyNumberFormat="1" applyFont="1" applyFill="1" applyBorder="1" applyAlignment="1">
      <alignment horizontal="center" vertical="center" wrapText="1"/>
    </xf>
    <xf numFmtId="165" fontId="58" fillId="49" borderId="22" xfId="46" applyNumberFormat="1" applyFont="1" applyFill="1" applyBorder="1" applyAlignment="1">
      <alignment horizontal="center" vertical="center" wrapText="1"/>
    </xf>
    <xf numFmtId="165" fontId="58" fillId="6" borderId="29" xfId="46" applyNumberFormat="1" applyFont="1" applyFill="1" applyBorder="1" applyAlignment="1">
      <alignment horizontal="center" vertical="center" wrapText="1"/>
    </xf>
    <xf numFmtId="165" fontId="58" fillId="6" borderId="22" xfId="46" applyNumberFormat="1" applyFont="1" applyFill="1" applyBorder="1" applyAlignment="1">
      <alignment horizontal="center" vertical="center" wrapText="1"/>
    </xf>
    <xf numFmtId="165" fontId="58" fillId="55" borderId="21" xfId="46" applyNumberFormat="1" applyFont="1" applyFill="1" applyBorder="1" applyAlignment="1">
      <alignment horizontal="center" vertical="center" wrapText="1"/>
    </xf>
    <xf numFmtId="165" fontId="58" fillId="55" borderId="33" xfId="46" applyNumberFormat="1" applyFont="1" applyFill="1" applyBorder="1" applyAlignment="1">
      <alignment horizontal="center" vertical="center" wrapText="1"/>
    </xf>
    <xf numFmtId="165" fontId="58" fillId="55" borderId="26" xfId="46" applyNumberFormat="1" applyFont="1" applyFill="1" applyBorder="1" applyAlignment="1">
      <alignment horizontal="center" vertical="center" wrapText="1"/>
    </xf>
    <xf numFmtId="165" fontId="59" fillId="46" borderId="21" xfId="46" applyNumberFormat="1" applyFont="1" applyFill="1" applyBorder="1" applyAlignment="1">
      <alignment horizontal="center" vertical="center" wrapText="1"/>
    </xf>
    <xf numFmtId="165" fontId="59" fillId="46" borderId="33" xfId="46" applyNumberFormat="1" applyFont="1" applyFill="1" applyBorder="1" applyAlignment="1">
      <alignment horizontal="center" vertical="center" wrapText="1"/>
    </xf>
    <xf numFmtId="165" fontId="59" fillId="46" borderId="26" xfId="46" applyNumberFormat="1" applyFont="1" applyFill="1" applyBorder="1" applyAlignment="1">
      <alignment horizontal="center" vertical="center" wrapText="1"/>
    </xf>
    <xf numFmtId="165" fontId="63" fillId="9" borderId="21" xfId="46" applyNumberFormat="1" applyFont="1" applyFill="1" applyBorder="1" applyAlignment="1">
      <alignment horizontal="center" vertical="center" wrapText="1"/>
    </xf>
    <xf numFmtId="165" fontId="63" fillId="9" borderId="26" xfId="46" applyNumberFormat="1" applyFont="1" applyFill="1" applyBorder="1" applyAlignment="1">
      <alignment horizontal="center" vertical="center" wrapText="1"/>
    </xf>
    <xf numFmtId="0" fontId="63" fillId="47" borderId="21" xfId="0" applyFont="1" applyFill="1" applyBorder="1" applyAlignment="1">
      <alignment horizontal="center" vertical="center" wrapText="1"/>
    </xf>
    <xf numFmtId="0" fontId="63" fillId="47" borderId="33" xfId="0" applyFont="1" applyFill="1" applyBorder="1" applyAlignment="1">
      <alignment horizontal="center" vertical="center" wrapText="1"/>
    </xf>
    <xf numFmtId="0" fontId="63" fillId="47" borderId="26" xfId="0" applyFont="1" applyFill="1" applyBorder="1" applyAlignment="1">
      <alignment horizontal="center" vertical="center" wrapText="1"/>
    </xf>
    <xf numFmtId="165" fontId="58" fillId="55" borderId="29" xfId="46" applyNumberFormat="1" applyFont="1" applyFill="1" applyBorder="1" applyAlignment="1">
      <alignment horizontal="center" vertical="center" wrapText="1"/>
    </xf>
    <xf numFmtId="165" fontId="58" fillId="55" borderId="22" xfId="46" applyNumberFormat="1" applyFont="1" applyFill="1" applyBorder="1" applyAlignment="1">
      <alignment horizontal="center" vertical="center" wrapText="1"/>
    </xf>
    <xf numFmtId="0" fontId="63" fillId="47" borderId="21" xfId="0" applyFont="1" applyFill="1" applyBorder="1" applyAlignment="1">
      <alignment vertical="center" wrapText="1"/>
    </xf>
    <xf numFmtId="0" fontId="63" fillId="47" borderId="26" xfId="0" applyFont="1" applyFill="1" applyBorder="1" applyAlignment="1">
      <alignmen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3" xfId="49"/>
    <cellStyle name="Millares 4" xfId="50"/>
    <cellStyle name="Currency" xfId="51"/>
    <cellStyle name="Currency [0]" xfId="52"/>
    <cellStyle name="Neutral" xfId="53"/>
    <cellStyle name="Normal 2" xfId="54"/>
    <cellStyle name="Normal 2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D313"/>
  <sheetViews>
    <sheetView zoomScale="145" zoomScaleNormal="145" zoomScalePageLayoutView="0" workbookViewId="0" topLeftCell="B1">
      <pane xSplit="24" ySplit="6" topLeftCell="Z7" activePane="bottomRight" state="frozen"/>
      <selection pane="topLeft" activeCell="B1" sqref="B1"/>
      <selection pane="topRight" activeCell="Y1" sqref="Y1"/>
      <selection pane="bottomLeft" activeCell="B7" sqref="B7"/>
      <selection pane="bottomRight" activeCell="C8" sqref="C8"/>
    </sheetView>
  </sheetViews>
  <sheetFormatPr defaultColWidth="11.421875" defaultRowHeight="15"/>
  <cols>
    <col min="1" max="1" width="21.140625" style="9" customWidth="1"/>
    <col min="2" max="3" width="38.57421875" style="13" customWidth="1"/>
    <col min="4" max="4" width="14.8515625" style="28" customWidth="1"/>
    <col min="5" max="5" width="19.421875" style="28" customWidth="1"/>
    <col min="6" max="6" width="15.57421875" style="28" customWidth="1"/>
    <col min="7" max="7" width="14.8515625" style="28" customWidth="1"/>
    <col min="8" max="8" width="16.57421875" style="28" customWidth="1"/>
    <col min="9" max="9" width="17.8515625" style="28" customWidth="1"/>
    <col min="10" max="10" width="14.421875" style="28" customWidth="1"/>
    <col min="11" max="11" width="17.57421875" style="28" customWidth="1"/>
    <col min="12" max="12" width="14.8515625" style="28" customWidth="1"/>
    <col min="13" max="13" width="16.57421875" style="28" customWidth="1"/>
    <col min="14" max="14" width="13.57421875" style="28" customWidth="1"/>
    <col min="15" max="15" width="18.00390625" style="28" customWidth="1"/>
    <col min="16" max="16" width="19.421875" style="28" customWidth="1"/>
    <col min="17" max="17" width="14.8515625" style="28" customWidth="1"/>
    <col min="18" max="18" width="16.57421875" style="28" customWidth="1"/>
    <col min="19" max="19" width="15.7109375" style="28" customWidth="1"/>
    <col min="20" max="20" width="16.57421875" style="28" customWidth="1"/>
    <col min="21" max="21" width="17.28125" style="28" customWidth="1"/>
    <col min="22" max="22" width="16.7109375" style="28" customWidth="1"/>
    <col min="23" max="23" width="16.57421875" style="28" customWidth="1"/>
    <col min="24" max="52" width="11.421875" style="8" customWidth="1"/>
    <col min="53" max="53" width="23.00390625" style="8" customWidth="1"/>
    <col min="54" max="16384" width="11.421875" style="8" customWidth="1"/>
  </cols>
  <sheetData>
    <row r="1" spans="1:56" ht="15.75" customHeight="1" thickBot="1">
      <c r="A1" s="104" t="s">
        <v>353</v>
      </c>
      <c r="B1" s="105"/>
      <c r="C1" s="105"/>
      <c r="D1" s="105"/>
      <c r="E1" s="105"/>
      <c r="F1" s="105"/>
      <c r="G1" s="105"/>
      <c r="H1" s="105"/>
      <c r="I1" s="105"/>
      <c r="J1" s="105"/>
      <c r="K1" s="105"/>
      <c r="L1" s="105"/>
      <c r="M1" s="105"/>
      <c r="N1" s="105"/>
      <c r="O1" s="105"/>
      <c r="P1" s="105"/>
      <c r="Q1" s="105"/>
      <c r="R1" s="105"/>
      <c r="S1" s="105"/>
      <c r="T1" s="105"/>
      <c r="U1" s="105"/>
      <c r="V1" s="105"/>
      <c r="W1" s="106"/>
      <c r="X1" s="391" t="s">
        <v>354</v>
      </c>
      <c r="Y1" s="391"/>
      <c r="Z1" s="391"/>
      <c r="AA1" s="391"/>
      <c r="AB1" s="391"/>
      <c r="AC1" s="391"/>
      <c r="AD1" s="391"/>
      <c r="AE1" s="392" t="s">
        <v>355</v>
      </c>
      <c r="AF1" s="392"/>
      <c r="AG1" s="392"/>
      <c r="AH1" s="392"/>
      <c r="AI1" s="392"/>
      <c r="AJ1" s="392"/>
      <c r="AK1" s="392"/>
      <c r="AL1" s="392"/>
      <c r="AM1" s="392"/>
      <c r="AN1" s="392"/>
      <c r="AO1" s="392"/>
      <c r="AP1" s="392"/>
      <c r="AQ1" s="392"/>
      <c r="AR1" s="392"/>
      <c r="AS1" s="392"/>
      <c r="AT1" s="392"/>
      <c r="AU1" s="392"/>
      <c r="AV1" s="392"/>
      <c r="AW1" s="392"/>
      <c r="AX1" s="392"/>
      <c r="AY1" s="392"/>
      <c r="AZ1" s="385" t="s">
        <v>370</v>
      </c>
      <c r="BA1" s="385"/>
      <c r="BB1" s="385"/>
      <c r="BC1" s="385"/>
      <c r="BD1" s="386"/>
    </row>
    <row r="2" spans="1:56" s="9" customFormat="1" ht="15" customHeight="1">
      <c r="A2" s="17"/>
      <c r="B2" s="101"/>
      <c r="C2" s="101"/>
      <c r="D2" s="22">
        <v>2012</v>
      </c>
      <c r="E2" s="23"/>
      <c r="F2" s="23"/>
      <c r="G2" s="23"/>
      <c r="H2" s="24"/>
      <c r="I2" s="396">
        <v>2013</v>
      </c>
      <c r="J2" s="397"/>
      <c r="K2" s="397"/>
      <c r="L2" s="397"/>
      <c r="M2" s="398"/>
      <c r="N2" s="25">
        <v>2014</v>
      </c>
      <c r="O2" s="23"/>
      <c r="P2" s="23"/>
      <c r="Q2" s="23"/>
      <c r="R2" s="23"/>
      <c r="S2" s="26">
        <v>2015</v>
      </c>
      <c r="T2" s="26"/>
      <c r="U2" s="26"/>
      <c r="V2" s="26"/>
      <c r="W2" s="27"/>
      <c r="X2" s="391"/>
      <c r="Y2" s="391"/>
      <c r="Z2" s="391"/>
      <c r="AA2" s="391"/>
      <c r="AB2" s="391"/>
      <c r="AC2" s="391"/>
      <c r="AD2" s="391"/>
      <c r="AE2" s="389">
        <v>2012</v>
      </c>
      <c r="AF2" s="389"/>
      <c r="AG2" s="389"/>
      <c r="AH2" s="389"/>
      <c r="AI2" s="389"/>
      <c r="AJ2" s="389">
        <v>2013</v>
      </c>
      <c r="AK2" s="389"/>
      <c r="AL2" s="389"/>
      <c r="AM2" s="389"/>
      <c r="AN2" s="389"/>
      <c r="AO2" s="389">
        <v>2014</v>
      </c>
      <c r="AP2" s="389"/>
      <c r="AQ2" s="389"/>
      <c r="AR2" s="389"/>
      <c r="AS2" s="389"/>
      <c r="AT2" s="389">
        <v>2015</v>
      </c>
      <c r="AU2" s="389"/>
      <c r="AV2" s="389"/>
      <c r="AW2" s="389"/>
      <c r="AX2" s="389"/>
      <c r="AY2" s="390" t="s">
        <v>350</v>
      </c>
      <c r="AZ2" s="387"/>
      <c r="BA2" s="387"/>
      <c r="BB2" s="387"/>
      <c r="BC2" s="387"/>
      <c r="BD2" s="388"/>
    </row>
    <row r="3" spans="1:56" s="10" customFormat="1" ht="31.5" customHeight="1" thickBot="1">
      <c r="A3" s="29" t="s">
        <v>1</v>
      </c>
      <c r="B3" s="102" t="s">
        <v>346</v>
      </c>
      <c r="C3" s="102"/>
      <c r="D3" s="30" t="s">
        <v>347</v>
      </c>
      <c r="E3" s="30" t="s">
        <v>4</v>
      </c>
      <c r="F3" s="30" t="s">
        <v>348</v>
      </c>
      <c r="G3" s="30" t="s">
        <v>349</v>
      </c>
      <c r="H3" s="30" t="s">
        <v>350</v>
      </c>
      <c r="I3" s="30" t="s">
        <v>347</v>
      </c>
      <c r="J3" s="30" t="s">
        <v>4</v>
      </c>
      <c r="K3" s="30" t="s">
        <v>348</v>
      </c>
      <c r="L3" s="30" t="s">
        <v>349</v>
      </c>
      <c r="M3" s="30" t="s">
        <v>351</v>
      </c>
      <c r="N3" s="30" t="s">
        <v>347</v>
      </c>
      <c r="O3" s="30" t="s">
        <v>4</v>
      </c>
      <c r="P3" s="30" t="s">
        <v>348</v>
      </c>
      <c r="Q3" s="30" t="s">
        <v>352</v>
      </c>
      <c r="R3" s="30" t="s">
        <v>351</v>
      </c>
      <c r="S3" s="30" t="s">
        <v>347</v>
      </c>
      <c r="T3" s="30" t="s">
        <v>4</v>
      </c>
      <c r="U3" s="30" t="s">
        <v>348</v>
      </c>
      <c r="V3" s="30" t="s">
        <v>352</v>
      </c>
      <c r="W3" s="30" t="s">
        <v>351</v>
      </c>
      <c r="X3" s="70" t="s">
        <v>356</v>
      </c>
      <c r="Y3" s="70" t="s">
        <v>357</v>
      </c>
      <c r="Z3" s="70" t="s">
        <v>358</v>
      </c>
      <c r="AA3" s="70">
        <v>2012</v>
      </c>
      <c r="AB3" s="70">
        <v>2013</v>
      </c>
      <c r="AC3" s="70">
        <v>2014</v>
      </c>
      <c r="AD3" s="70">
        <v>2015</v>
      </c>
      <c r="AE3" s="71" t="s">
        <v>4</v>
      </c>
      <c r="AF3" s="71" t="s">
        <v>359</v>
      </c>
      <c r="AG3" s="72" t="s">
        <v>348</v>
      </c>
      <c r="AH3" s="71" t="s">
        <v>352</v>
      </c>
      <c r="AI3" s="71" t="s">
        <v>351</v>
      </c>
      <c r="AJ3" s="71" t="s">
        <v>4</v>
      </c>
      <c r="AK3" s="71" t="s">
        <v>359</v>
      </c>
      <c r="AL3" s="71" t="s">
        <v>348</v>
      </c>
      <c r="AM3" s="71" t="s">
        <v>352</v>
      </c>
      <c r="AN3" s="71" t="s">
        <v>351</v>
      </c>
      <c r="AO3" s="71" t="s">
        <v>4</v>
      </c>
      <c r="AP3" s="71" t="s">
        <v>359</v>
      </c>
      <c r="AQ3" s="71" t="s">
        <v>348</v>
      </c>
      <c r="AR3" s="71" t="s">
        <v>352</v>
      </c>
      <c r="AS3" s="71" t="s">
        <v>351</v>
      </c>
      <c r="AT3" s="71" t="s">
        <v>4</v>
      </c>
      <c r="AU3" s="71" t="s">
        <v>359</v>
      </c>
      <c r="AV3" s="71" t="s">
        <v>348</v>
      </c>
      <c r="AW3" s="71" t="s">
        <v>352</v>
      </c>
      <c r="AX3" s="71" t="s">
        <v>351</v>
      </c>
      <c r="AY3" s="390"/>
      <c r="AZ3" s="97" t="s">
        <v>371</v>
      </c>
      <c r="BA3" s="98" t="s">
        <v>372</v>
      </c>
      <c r="BB3" s="98" t="s">
        <v>373</v>
      </c>
      <c r="BC3" s="98" t="s">
        <v>356</v>
      </c>
      <c r="BD3" s="99" t="s">
        <v>374</v>
      </c>
    </row>
    <row r="4" spans="1:51" s="21" customFormat="1" ht="15.75" thickBot="1">
      <c r="A4" s="404" t="s">
        <v>345</v>
      </c>
      <c r="B4" s="405"/>
      <c r="C4" s="68"/>
      <c r="D4" s="42">
        <v>113193917</v>
      </c>
      <c r="E4" s="60">
        <v>970645727</v>
      </c>
      <c r="F4" s="60">
        <v>109998030</v>
      </c>
      <c r="G4" s="60">
        <v>450528130</v>
      </c>
      <c r="H4" s="60">
        <v>1644365804</v>
      </c>
      <c r="I4" s="60">
        <v>117212309</v>
      </c>
      <c r="J4" s="60">
        <v>941769788</v>
      </c>
      <c r="K4" s="60">
        <v>95592108</v>
      </c>
      <c r="L4" s="60">
        <v>630380258</v>
      </c>
      <c r="M4" s="60">
        <f>I4+J4+K4+L4</f>
        <v>1784954463</v>
      </c>
      <c r="N4" s="61">
        <v>119512955</v>
      </c>
      <c r="O4" s="61">
        <v>978474539</v>
      </c>
      <c r="P4" s="61">
        <v>99415792</v>
      </c>
      <c r="Q4" s="61">
        <v>537763468</v>
      </c>
      <c r="R4" s="42">
        <f>N4+O4+P4+Q4</f>
        <v>1735166754</v>
      </c>
      <c r="S4" s="62">
        <v>133829474</v>
      </c>
      <c r="T4" s="62">
        <v>1017536602</v>
      </c>
      <c r="U4" s="62">
        <v>103392424</v>
      </c>
      <c r="V4" s="62">
        <v>559274007</v>
      </c>
      <c r="W4" s="42">
        <f>S4+T4+U4+V4</f>
        <v>1814032507</v>
      </c>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row>
    <row r="5" spans="1:51" ht="15">
      <c r="A5" s="401" t="s">
        <v>55</v>
      </c>
      <c r="B5" s="402"/>
      <c r="C5" s="67"/>
      <c r="D5" s="51">
        <v>28836490</v>
      </c>
      <c r="E5" s="51">
        <f>E15+E26</f>
        <v>42198536</v>
      </c>
      <c r="F5" s="52">
        <v>59143313</v>
      </c>
      <c r="G5" s="51">
        <v>16000000</v>
      </c>
      <c r="H5" s="51">
        <f>D5+E5+F5+G5</f>
        <v>146178339</v>
      </c>
      <c r="I5" s="51">
        <v>15321040</v>
      </c>
      <c r="J5" s="51">
        <v>33458286</v>
      </c>
      <c r="K5" s="51">
        <v>37040000</v>
      </c>
      <c r="L5" s="51">
        <v>20000000</v>
      </c>
      <c r="M5" s="51">
        <f>I5+J5+K5+L5</f>
        <v>105819326</v>
      </c>
      <c r="N5" s="51">
        <v>15933882</v>
      </c>
      <c r="O5" s="51">
        <v>34796617</v>
      </c>
      <c r="P5" s="51">
        <v>38521600</v>
      </c>
      <c r="Q5" s="51">
        <v>0</v>
      </c>
      <c r="R5" s="51">
        <f>N5+O5+P5+Q5</f>
        <v>89252099</v>
      </c>
      <c r="S5" s="51">
        <v>16571237</v>
      </c>
      <c r="T5" s="51">
        <v>36188482</v>
      </c>
      <c r="U5" s="51">
        <v>40062464</v>
      </c>
      <c r="V5" s="51"/>
      <c r="W5" s="51">
        <f>S5+T5+U5+V5</f>
        <v>92822183</v>
      </c>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row>
    <row r="6" spans="1:56" s="85" customFormat="1" ht="27.75" customHeight="1">
      <c r="A6" s="406" t="s">
        <v>127</v>
      </c>
      <c r="B6" s="81" t="s">
        <v>85</v>
      </c>
      <c r="C6" s="81"/>
      <c r="D6" s="82"/>
      <c r="E6" s="82">
        <v>11876000</v>
      </c>
      <c r="F6" s="83"/>
      <c r="G6" s="83"/>
      <c r="H6" s="83">
        <f>SUM(D6:G6)</f>
        <v>11876000</v>
      </c>
      <c r="I6" s="82">
        <f>+D6*4%+D6</f>
        <v>0</v>
      </c>
      <c r="J6" s="82">
        <v>3000000</v>
      </c>
      <c r="K6" s="83"/>
      <c r="L6" s="83"/>
      <c r="M6" s="83">
        <f>SUM(I6:L6)</f>
        <v>3000000</v>
      </c>
      <c r="N6" s="82">
        <f>+I6*4%+I6</f>
        <v>0</v>
      </c>
      <c r="O6" s="82">
        <f>+J6*4%+J6</f>
        <v>3120000</v>
      </c>
      <c r="P6" s="83">
        <f>+K6*4%+K6</f>
        <v>0</v>
      </c>
      <c r="Q6" s="83">
        <f>+L6*4%+L6</f>
        <v>0</v>
      </c>
      <c r="R6" s="83">
        <f>SUM(N6:Q6)</f>
        <v>3120000</v>
      </c>
      <c r="S6" s="83">
        <f>+N6*4%+N6</f>
        <v>0</v>
      </c>
      <c r="T6" s="82">
        <f>+O6*4%+O6</f>
        <v>3244800</v>
      </c>
      <c r="U6" s="83">
        <f>+P6*4%+P6</f>
        <v>0</v>
      </c>
      <c r="V6" s="83">
        <f>+Q6*4%+Q6</f>
        <v>0</v>
      </c>
      <c r="W6" s="83">
        <f>SUM(S6:V6)</f>
        <v>3244800</v>
      </c>
      <c r="X6" s="84"/>
      <c r="Y6" s="84">
        <v>41</v>
      </c>
      <c r="Z6" s="84">
        <v>51</v>
      </c>
      <c r="AA6" s="84">
        <v>2</v>
      </c>
      <c r="AB6" s="84">
        <v>3</v>
      </c>
      <c r="AC6" s="84">
        <v>3</v>
      </c>
      <c r="AD6" s="84">
        <v>2</v>
      </c>
      <c r="AE6" s="84"/>
      <c r="AF6" s="84"/>
      <c r="AG6" s="84"/>
      <c r="AH6" s="84"/>
      <c r="AI6" s="84"/>
      <c r="AJ6" s="84"/>
      <c r="AK6" s="84"/>
      <c r="AL6" s="84"/>
      <c r="AM6" s="84"/>
      <c r="AN6" s="84"/>
      <c r="AO6" s="84"/>
      <c r="AP6" s="84"/>
      <c r="AQ6" s="84"/>
      <c r="AR6" s="84"/>
      <c r="AS6" s="84"/>
      <c r="AT6" s="84"/>
      <c r="AU6" s="84"/>
      <c r="AV6" s="84"/>
      <c r="AW6" s="84"/>
      <c r="AX6" s="84"/>
      <c r="AY6" s="84"/>
      <c r="AZ6" s="84"/>
      <c r="BA6" s="84" t="s">
        <v>375</v>
      </c>
      <c r="BB6" s="84"/>
      <c r="BC6" s="84"/>
      <c r="BD6" s="84"/>
    </row>
    <row r="7" spans="1:56" s="85" customFormat="1" ht="25.5" customHeight="1">
      <c r="A7" s="408"/>
      <c r="B7" s="81" t="s">
        <v>84</v>
      </c>
      <c r="C7" s="81"/>
      <c r="D7" s="82"/>
      <c r="E7" s="82"/>
      <c r="F7" s="82"/>
      <c r="G7" s="82"/>
      <c r="H7" s="83">
        <f aca="true" t="shared" si="0" ref="H7:H46">SUM(D7:G7)</f>
        <v>0</v>
      </c>
      <c r="I7" s="82">
        <f>+D7*4%+D7</f>
        <v>0</v>
      </c>
      <c r="J7" s="82">
        <v>3351040</v>
      </c>
      <c r="K7" s="82"/>
      <c r="L7" s="82"/>
      <c r="M7" s="83">
        <f aca="true" t="shared" si="1" ref="M7:M25">SUM(I7:L7)</f>
        <v>3351040</v>
      </c>
      <c r="N7" s="82">
        <f aca="true" t="shared" si="2" ref="N7:N25">+I7*4%+I7</f>
        <v>0</v>
      </c>
      <c r="O7" s="82">
        <f aca="true" t="shared" si="3" ref="O7:O25">+J7*4%+J7</f>
        <v>3485081.6</v>
      </c>
      <c r="P7" s="83">
        <f aca="true" t="shared" si="4" ref="P7:P25">+K7*4%+K7</f>
        <v>0</v>
      </c>
      <c r="Q7" s="83">
        <f aca="true" t="shared" si="5" ref="Q7:Q25">+L7*4%+L7</f>
        <v>0</v>
      </c>
      <c r="R7" s="83">
        <f aca="true" t="shared" si="6" ref="R7:R101">SUM(N7:Q7)</f>
        <v>3485081.6</v>
      </c>
      <c r="S7" s="83">
        <f aca="true" t="shared" si="7" ref="S7:S66">+N7*4%+N7</f>
        <v>0</v>
      </c>
      <c r="T7" s="82">
        <f aca="true" t="shared" si="8" ref="T7:T66">+O7*4%+O7</f>
        <v>3624484.864</v>
      </c>
      <c r="U7" s="83">
        <f aca="true" t="shared" si="9" ref="U7:U66">+P7*4%+P7</f>
        <v>0</v>
      </c>
      <c r="V7" s="83">
        <f aca="true" t="shared" si="10" ref="V7:V66">+Q7*4%+Q7</f>
        <v>0</v>
      </c>
      <c r="W7" s="83">
        <f aca="true" t="shared" si="11" ref="W7:W101">SUM(S7:V7)</f>
        <v>3624484.864</v>
      </c>
      <c r="X7" s="84"/>
      <c r="Y7" s="84">
        <v>159</v>
      </c>
      <c r="Z7" s="84">
        <v>169</v>
      </c>
      <c r="AA7" s="84">
        <v>2</v>
      </c>
      <c r="AB7" s="84">
        <v>3</v>
      </c>
      <c r="AC7" s="84">
        <v>3</v>
      </c>
      <c r="AD7" s="84">
        <v>2</v>
      </c>
      <c r="AE7" s="84"/>
      <c r="AF7" s="84"/>
      <c r="AG7" s="84"/>
      <c r="AH7" s="84"/>
      <c r="AI7" s="84"/>
      <c r="AJ7" s="84"/>
      <c r="AK7" s="84"/>
      <c r="AL7" s="84"/>
      <c r="AM7" s="84"/>
      <c r="AN7" s="84"/>
      <c r="AO7" s="84"/>
      <c r="AP7" s="84"/>
      <c r="AQ7" s="84"/>
      <c r="AR7" s="84"/>
      <c r="AS7" s="84"/>
      <c r="AT7" s="84"/>
      <c r="AU7" s="84"/>
      <c r="AV7" s="84"/>
      <c r="AW7" s="84"/>
      <c r="AX7" s="84"/>
      <c r="AY7" s="84"/>
      <c r="AZ7" s="84"/>
      <c r="BA7" s="84" t="s">
        <v>375</v>
      </c>
      <c r="BB7" s="84"/>
      <c r="BC7" s="84"/>
      <c r="BD7" s="84"/>
    </row>
    <row r="8" spans="1:56" s="41" customFormat="1" ht="27.75" customHeight="1">
      <c r="A8" s="408"/>
      <c r="B8" s="38" t="s">
        <v>83</v>
      </c>
      <c r="C8" s="38"/>
      <c r="D8" s="39"/>
      <c r="E8" s="39"/>
      <c r="F8" s="39"/>
      <c r="G8" s="39"/>
      <c r="H8" s="40">
        <f t="shared" si="0"/>
        <v>0</v>
      </c>
      <c r="I8" s="39">
        <f>+D8*4%+D8</f>
        <v>0</v>
      </c>
      <c r="J8" s="39">
        <v>3000000</v>
      </c>
      <c r="K8" s="39"/>
      <c r="L8" s="39"/>
      <c r="M8" s="40">
        <f t="shared" si="1"/>
        <v>3000000</v>
      </c>
      <c r="N8" s="39">
        <f t="shared" si="2"/>
        <v>0</v>
      </c>
      <c r="O8" s="39">
        <f t="shared" si="3"/>
        <v>3120000</v>
      </c>
      <c r="P8" s="40">
        <f t="shared" si="4"/>
        <v>0</v>
      </c>
      <c r="Q8" s="40">
        <f t="shared" si="5"/>
        <v>0</v>
      </c>
      <c r="R8" s="40">
        <f t="shared" si="6"/>
        <v>3120000</v>
      </c>
      <c r="S8" s="40">
        <f t="shared" si="7"/>
        <v>0</v>
      </c>
      <c r="T8" s="39">
        <f t="shared" si="8"/>
        <v>3244800</v>
      </c>
      <c r="U8" s="40">
        <f t="shared" si="9"/>
        <v>0</v>
      </c>
      <c r="V8" s="40">
        <f t="shared" si="10"/>
        <v>0</v>
      </c>
      <c r="W8" s="40">
        <f t="shared" si="11"/>
        <v>3244800</v>
      </c>
      <c r="X8" s="75"/>
      <c r="Y8" s="75">
        <v>110</v>
      </c>
      <c r="Z8" s="75">
        <v>120</v>
      </c>
      <c r="AA8" s="75">
        <v>2</v>
      </c>
      <c r="AB8" s="75">
        <v>3</v>
      </c>
      <c r="AC8" s="75">
        <v>3</v>
      </c>
      <c r="AD8" s="75">
        <v>2</v>
      </c>
      <c r="AE8" s="75"/>
      <c r="AF8" s="75"/>
      <c r="AG8" s="75"/>
      <c r="AH8" s="75"/>
      <c r="AI8" s="75"/>
      <c r="AJ8" s="75"/>
      <c r="AK8" s="75"/>
      <c r="AL8" s="75"/>
      <c r="AM8" s="75"/>
      <c r="AN8" s="75"/>
      <c r="AO8" s="75"/>
      <c r="AP8" s="75"/>
      <c r="AQ8" s="75"/>
      <c r="AR8" s="75"/>
      <c r="AS8" s="75"/>
      <c r="AT8" s="75"/>
      <c r="AU8" s="75"/>
      <c r="AV8" s="75"/>
      <c r="AW8" s="75"/>
      <c r="AX8" s="75"/>
      <c r="AY8" s="75"/>
      <c r="AZ8" s="75"/>
      <c r="BA8" s="84" t="s">
        <v>375</v>
      </c>
      <c r="BB8" s="75"/>
      <c r="BC8" s="75"/>
      <c r="BD8" s="75"/>
    </row>
    <row r="9" spans="1:56" s="41" customFormat="1" ht="27.75" customHeight="1">
      <c r="A9" s="408"/>
      <c r="B9" s="38" t="s">
        <v>98</v>
      </c>
      <c r="C9" s="38"/>
      <c r="D9" s="39"/>
      <c r="E9" s="39"/>
      <c r="F9" s="39"/>
      <c r="G9" s="39"/>
      <c r="H9" s="40">
        <f t="shared" si="0"/>
        <v>0</v>
      </c>
      <c r="I9" s="39">
        <f>+D9*4%+D9</f>
        <v>0</v>
      </c>
      <c r="J9" s="39">
        <v>3000000</v>
      </c>
      <c r="K9" s="39"/>
      <c r="L9" s="39"/>
      <c r="M9" s="40">
        <f t="shared" si="1"/>
        <v>3000000</v>
      </c>
      <c r="N9" s="39">
        <f t="shared" si="2"/>
        <v>0</v>
      </c>
      <c r="O9" s="39">
        <f t="shared" si="3"/>
        <v>3120000</v>
      </c>
      <c r="P9" s="40">
        <f t="shared" si="4"/>
        <v>0</v>
      </c>
      <c r="Q9" s="40">
        <f t="shared" si="5"/>
        <v>0</v>
      </c>
      <c r="R9" s="40">
        <f t="shared" si="6"/>
        <v>3120000</v>
      </c>
      <c r="S9" s="40">
        <f t="shared" si="7"/>
        <v>0</v>
      </c>
      <c r="T9" s="39">
        <f t="shared" si="8"/>
        <v>3244800</v>
      </c>
      <c r="U9" s="40">
        <f t="shared" si="9"/>
        <v>0</v>
      </c>
      <c r="V9" s="40">
        <f t="shared" si="10"/>
        <v>0</v>
      </c>
      <c r="W9" s="40">
        <f t="shared" si="11"/>
        <v>3244800</v>
      </c>
      <c r="X9" s="75"/>
      <c r="Y9" s="75">
        <v>42</v>
      </c>
      <c r="Z9" s="75">
        <v>52</v>
      </c>
      <c r="AA9" s="75">
        <v>2</v>
      </c>
      <c r="AB9" s="75">
        <v>3</v>
      </c>
      <c r="AC9" s="75">
        <v>3</v>
      </c>
      <c r="AD9" s="75">
        <v>2</v>
      </c>
      <c r="AE9" s="75"/>
      <c r="AF9" s="75"/>
      <c r="AG9" s="75"/>
      <c r="AH9" s="75"/>
      <c r="AI9" s="75"/>
      <c r="AJ9" s="75"/>
      <c r="AK9" s="75"/>
      <c r="AL9" s="75"/>
      <c r="AM9" s="75"/>
      <c r="AN9" s="75"/>
      <c r="AO9" s="75"/>
      <c r="AP9" s="75"/>
      <c r="AQ9" s="75"/>
      <c r="AR9" s="75"/>
      <c r="AS9" s="75"/>
      <c r="AT9" s="75"/>
      <c r="AU9" s="75"/>
      <c r="AV9" s="75"/>
      <c r="AW9" s="75"/>
      <c r="AX9" s="75"/>
      <c r="AY9" s="75"/>
      <c r="AZ9" s="75"/>
      <c r="BA9" s="84" t="s">
        <v>375</v>
      </c>
      <c r="BB9" s="75"/>
      <c r="BC9" s="75"/>
      <c r="BD9" s="75"/>
    </row>
    <row r="10" spans="1:56" s="41" customFormat="1" ht="28.5" customHeight="1">
      <c r="A10" s="408"/>
      <c r="B10" s="38" t="s">
        <v>23</v>
      </c>
      <c r="C10" s="38"/>
      <c r="D10" s="39">
        <v>20835490</v>
      </c>
      <c r="E10" s="39">
        <v>3883699</v>
      </c>
      <c r="F10" s="39"/>
      <c r="G10" s="39">
        <v>2000000</v>
      </c>
      <c r="H10" s="40">
        <f t="shared" si="0"/>
        <v>26719189</v>
      </c>
      <c r="I10" s="39">
        <v>500000</v>
      </c>
      <c r="J10" s="39">
        <v>4039047</v>
      </c>
      <c r="K10" s="39"/>
      <c r="L10" s="39"/>
      <c r="M10" s="40">
        <f t="shared" si="1"/>
        <v>4539047</v>
      </c>
      <c r="N10" s="39">
        <f t="shared" si="2"/>
        <v>520000</v>
      </c>
      <c r="O10" s="39">
        <f t="shared" si="3"/>
        <v>4200608.88</v>
      </c>
      <c r="P10" s="40">
        <f t="shared" si="4"/>
        <v>0</v>
      </c>
      <c r="Q10" s="40">
        <f t="shared" si="5"/>
        <v>0</v>
      </c>
      <c r="R10" s="40">
        <f t="shared" si="6"/>
        <v>4720608.88</v>
      </c>
      <c r="S10" s="40">
        <f t="shared" si="7"/>
        <v>540800</v>
      </c>
      <c r="T10" s="39">
        <f t="shared" si="8"/>
        <v>4368633.2352</v>
      </c>
      <c r="U10" s="40">
        <f t="shared" si="9"/>
        <v>0</v>
      </c>
      <c r="V10" s="40">
        <f t="shared" si="10"/>
        <v>0</v>
      </c>
      <c r="W10" s="40">
        <f t="shared" si="11"/>
        <v>4909433.2352</v>
      </c>
      <c r="X10" s="75"/>
      <c r="Y10" s="75">
        <v>190</v>
      </c>
      <c r="Z10" s="75">
        <v>190</v>
      </c>
      <c r="AA10" s="75">
        <v>190</v>
      </c>
      <c r="AB10" s="75">
        <v>190</v>
      </c>
      <c r="AC10" s="75">
        <v>190</v>
      </c>
      <c r="AD10" s="75">
        <v>190</v>
      </c>
      <c r="AE10" s="75"/>
      <c r="AF10" s="75"/>
      <c r="AG10" s="75"/>
      <c r="AH10" s="75"/>
      <c r="AI10" s="75"/>
      <c r="AJ10" s="75"/>
      <c r="AK10" s="75"/>
      <c r="AL10" s="75"/>
      <c r="AM10" s="75"/>
      <c r="AN10" s="75"/>
      <c r="AO10" s="75"/>
      <c r="AP10" s="75"/>
      <c r="AQ10" s="75"/>
      <c r="AR10" s="75"/>
      <c r="AS10" s="75"/>
      <c r="AT10" s="75"/>
      <c r="AU10" s="75"/>
      <c r="AV10" s="75"/>
      <c r="AW10" s="75"/>
      <c r="AX10" s="75"/>
      <c r="AY10" s="75"/>
      <c r="AZ10" s="75"/>
      <c r="BA10" s="100" t="s">
        <v>376</v>
      </c>
      <c r="BB10" s="75"/>
      <c r="BC10" s="75"/>
      <c r="BD10" s="75"/>
    </row>
    <row r="11" spans="1:56" s="41" customFormat="1" ht="36">
      <c r="A11" s="408"/>
      <c r="B11" s="38" t="s">
        <v>86</v>
      </c>
      <c r="C11" s="38"/>
      <c r="D11" s="39"/>
      <c r="E11" s="39">
        <v>8141583</v>
      </c>
      <c r="F11" s="39">
        <v>35000000</v>
      </c>
      <c r="G11" s="39">
        <v>14000000</v>
      </c>
      <c r="H11" s="40">
        <f t="shared" si="0"/>
        <v>57141583</v>
      </c>
      <c r="I11" s="39"/>
      <c r="J11" s="39">
        <v>8467246</v>
      </c>
      <c r="K11" s="39">
        <v>15600000</v>
      </c>
      <c r="L11" s="39"/>
      <c r="M11" s="40">
        <f t="shared" si="1"/>
        <v>24067246</v>
      </c>
      <c r="N11" s="39">
        <f t="shared" si="2"/>
        <v>0</v>
      </c>
      <c r="O11" s="39">
        <f t="shared" si="3"/>
        <v>8805935.84</v>
      </c>
      <c r="P11" s="40">
        <f t="shared" si="4"/>
        <v>16224000</v>
      </c>
      <c r="Q11" s="40">
        <f t="shared" si="5"/>
        <v>0</v>
      </c>
      <c r="R11" s="40">
        <f t="shared" si="6"/>
        <v>25029935.84</v>
      </c>
      <c r="S11" s="40">
        <f t="shared" si="7"/>
        <v>0</v>
      </c>
      <c r="T11" s="39">
        <f t="shared" si="8"/>
        <v>9158173.273599999</v>
      </c>
      <c r="U11" s="40">
        <f t="shared" si="9"/>
        <v>16872960</v>
      </c>
      <c r="V11" s="40">
        <f t="shared" si="10"/>
        <v>0</v>
      </c>
      <c r="W11" s="40">
        <f t="shared" si="11"/>
        <v>26031133.273599997</v>
      </c>
      <c r="X11" s="75"/>
      <c r="Y11" s="75">
        <v>54</v>
      </c>
      <c r="Z11" s="75">
        <v>70</v>
      </c>
      <c r="AA11" s="75">
        <v>4</v>
      </c>
      <c r="AB11" s="75">
        <v>4</v>
      </c>
      <c r="AC11" s="75">
        <v>4</v>
      </c>
      <c r="AD11" s="75">
        <v>4</v>
      </c>
      <c r="AE11" s="75"/>
      <c r="AF11" s="75"/>
      <c r="AG11" s="75"/>
      <c r="AH11" s="75"/>
      <c r="AI11" s="75"/>
      <c r="AJ11" s="75"/>
      <c r="AK11" s="75"/>
      <c r="AL11" s="75"/>
      <c r="AM11" s="75"/>
      <c r="AN11" s="75"/>
      <c r="AO11" s="75"/>
      <c r="AP11" s="75"/>
      <c r="AQ11" s="75"/>
      <c r="AR11" s="75"/>
      <c r="AS11" s="75"/>
      <c r="AT11" s="75"/>
      <c r="AU11" s="75"/>
      <c r="AV11" s="75"/>
      <c r="AW11" s="75"/>
      <c r="AX11" s="75"/>
      <c r="AY11" s="75"/>
      <c r="AZ11" s="75"/>
      <c r="BA11" s="100" t="s">
        <v>377</v>
      </c>
      <c r="BB11" s="75"/>
      <c r="BC11" s="75"/>
      <c r="BD11" s="75"/>
    </row>
    <row r="12" spans="1:56" s="41" customFormat="1" ht="36" customHeight="1">
      <c r="A12" s="408"/>
      <c r="B12" s="38" t="s">
        <v>75</v>
      </c>
      <c r="C12" s="38"/>
      <c r="D12" s="39">
        <v>1000</v>
      </c>
      <c r="E12" s="39">
        <v>10000000</v>
      </c>
      <c r="F12" s="39">
        <v>15000000</v>
      </c>
      <c r="G12" s="39"/>
      <c r="H12" s="40">
        <f t="shared" si="0"/>
        <v>25001000</v>
      </c>
      <c r="I12" s="39">
        <f>+D12*4%+D12</f>
        <v>1040</v>
      </c>
      <c r="J12" s="39"/>
      <c r="K12" s="39">
        <v>10000000</v>
      </c>
      <c r="L12" s="39"/>
      <c r="M12" s="40">
        <f t="shared" si="1"/>
        <v>10001040</v>
      </c>
      <c r="N12" s="39">
        <f t="shared" si="2"/>
        <v>1081.6</v>
      </c>
      <c r="O12" s="39">
        <f t="shared" si="3"/>
        <v>0</v>
      </c>
      <c r="P12" s="40">
        <f t="shared" si="4"/>
        <v>10400000</v>
      </c>
      <c r="Q12" s="40">
        <f t="shared" si="5"/>
        <v>0</v>
      </c>
      <c r="R12" s="40">
        <f t="shared" si="6"/>
        <v>10401081.6</v>
      </c>
      <c r="S12" s="40">
        <f t="shared" si="7"/>
        <v>1124.8639999999998</v>
      </c>
      <c r="T12" s="39">
        <f t="shared" si="8"/>
        <v>0</v>
      </c>
      <c r="U12" s="40">
        <f t="shared" si="9"/>
        <v>10816000</v>
      </c>
      <c r="V12" s="40">
        <f t="shared" si="10"/>
        <v>0</v>
      </c>
      <c r="W12" s="40">
        <f t="shared" si="11"/>
        <v>10817124.864</v>
      </c>
      <c r="X12" s="75"/>
      <c r="Y12" s="75">
        <v>7</v>
      </c>
      <c r="Z12" s="75">
        <v>7</v>
      </c>
      <c r="AA12" s="75">
        <v>7</v>
      </c>
      <c r="AB12" s="75">
        <v>7</v>
      </c>
      <c r="AC12" s="75">
        <v>7</v>
      </c>
      <c r="AD12" s="75">
        <v>7</v>
      </c>
      <c r="AE12" s="75"/>
      <c r="AF12" s="75"/>
      <c r="AG12" s="75"/>
      <c r="AH12" s="75"/>
      <c r="AI12" s="75"/>
      <c r="AJ12" s="75"/>
      <c r="AK12" s="75"/>
      <c r="AL12" s="75"/>
      <c r="AM12" s="75"/>
      <c r="AN12" s="75"/>
      <c r="AO12" s="75"/>
      <c r="AP12" s="75"/>
      <c r="AQ12" s="75"/>
      <c r="AR12" s="75"/>
      <c r="AS12" s="75"/>
      <c r="AT12" s="75"/>
      <c r="AU12" s="75"/>
      <c r="AV12" s="75"/>
      <c r="AW12" s="75"/>
      <c r="AX12" s="75"/>
      <c r="AY12" s="75"/>
      <c r="AZ12" s="75"/>
      <c r="BA12" s="100" t="s">
        <v>378</v>
      </c>
      <c r="BB12" s="75"/>
      <c r="BC12" s="75"/>
      <c r="BD12" s="75"/>
    </row>
    <row r="13" spans="1:56" s="41" customFormat="1" ht="21" customHeight="1">
      <c r="A13" s="408"/>
      <c r="B13" s="38" t="s">
        <v>87</v>
      </c>
      <c r="C13" s="38"/>
      <c r="D13" s="39"/>
      <c r="E13" s="39"/>
      <c r="F13" s="39"/>
      <c r="G13" s="39"/>
      <c r="H13" s="40"/>
      <c r="I13" s="39">
        <v>2500000</v>
      </c>
      <c r="J13" s="39"/>
      <c r="K13" s="39"/>
      <c r="L13" s="39"/>
      <c r="M13" s="40"/>
      <c r="N13" s="39">
        <f t="shared" si="2"/>
        <v>2600000</v>
      </c>
      <c r="O13" s="39">
        <f t="shared" si="3"/>
        <v>0</v>
      </c>
      <c r="P13" s="40">
        <f t="shared" si="4"/>
        <v>0</v>
      </c>
      <c r="Q13" s="40">
        <f t="shared" si="5"/>
        <v>0</v>
      </c>
      <c r="R13" s="40">
        <f t="shared" si="6"/>
        <v>2600000</v>
      </c>
      <c r="S13" s="40">
        <f t="shared" si="7"/>
        <v>2704000</v>
      </c>
      <c r="T13" s="39">
        <f t="shared" si="8"/>
        <v>0</v>
      </c>
      <c r="U13" s="40">
        <f t="shared" si="9"/>
        <v>0</v>
      </c>
      <c r="V13" s="40">
        <f t="shared" si="10"/>
        <v>0</v>
      </c>
      <c r="W13" s="40">
        <f t="shared" si="11"/>
        <v>2704000</v>
      </c>
      <c r="X13" s="75"/>
      <c r="Y13" s="75">
        <v>5</v>
      </c>
      <c r="Z13" s="75">
        <v>5</v>
      </c>
      <c r="AA13" s="75">
        <v>1</v>
      </c>
      <c r="AB13" s="75">
        <v>1</v>
      </c>
      <c r="AC13" s="75">
        <v>2</v>
      </c>
      <c r="AD13" s="75">
        <v>1</v>
      </c>
      <c r="AE13" s="75"/>
      <c r="AF13" s="75"/>
      <c r="AG13" s="75"/>
      <c r="AH13" s="75"/>
      <c r="AI13" s="75"/>
      <c r="AJ13" s="75"/>
      <c r="AK13" s="75"/>
      <c r="AL13" s="75"/>
      <c r="AM13" s="75"/>
      <c r="AN13" s="75"/>
      <c r="AO13" s="75"/>
      <c r="AP13" s="75"/>
      <c r="AQ13" s="75"/>
      <c r="AR13" s="75"/>
      <c r="AS13" s="75"/>
      <c r="AT13" s="75"/>
      <c r="AU13" s="75"/>
      <c r="AV13" s="75"/>
      <c r="AW13" s="75"/>
      <c r="AX13" s="75"/>
      <c r="AY13" s="75"/>
      <c r="AZ13" s="75"/>
      <c r="BA13" s="100" t="s">
        <v>379</v>
      </c>
      <c r="BB13" s="75"/>
      <c r="BC13" s="75"/>
      <c r="BD13" s="75"/>
    </row>
    <row r="14" spans="1:56" s="41" customFormat="1" ht="27.75" customHeight="1">
      <c r="A14" s="408"/>
      <c r="B14" s="38" t="s">
        <v>60</v>
      </c>
      <c r="C14" s="38"/>
      <c r="D14" s="39"/>
      <c r="E14" s="39"/>
      <c r="F14" s="39"/>
      <c r="G14" s="39"/>
      <c r="H14" s="40">
        <f t="shared" si="0"/>
        <v>0</v>
      </c>
      <c r="I14" s="39"/>
      <c r="J14" s="39"/>
      <c r="K14" s="39"/>
      <c r="L14" s="39"/>
      <c r="M14" s="40">
        <f t="shared" si="1"/>
        <v>0</v>
      </c>
      <c r="N14" s="39">
        <f t="shared" si="2"/>
        <v>0</v>
      </c>
      <c r="O14" s="39">
        <f t="shared" si="3"/>
        <v>0</v>
      </c>
      <c r="P14" s="40">
        <f t="shared" si="4"/>
        <v>0</v>
      </c>
      <c r="Q14" s="40">
        <f t="shared" si="5"/>
        <v>0</v>
      </c>
      <c r="R14" s="40">
        <f t="shared" si="6"/>
        <v>0</v>
      </c>
      <c r="S14" s="40">
        <f t="shared" si="7"/>
        <v>0</v>
      </c>
      <c r="T14" s="39">
        <f t="shared" si="8"/>
        <v>0</v>
      </c>
      <c r="U14" s="40">
        <f t="shared" si="9"/>
        <v>0</v>
      </c>
      <c r="V14" s="40">
        <f t="shared" si="10"/>
        <v>0</v>
      </c>
      <c r="W14" s="40">
        <f t="shared" si="11"/>
        <v>0</v>
      </c>
      <c r="X14" s="75"/>
      <c r="Y14" s="75">
        <v>33</v>
      </c>
      <c r="Z14" s="75">
        <v>33</v>
      </c>
      <c r="AA14" s="75">
        <v>33</v>
      </c>
      <c r="AB14" s="75">
        <v>33</v>
      </c>
      <c r="AC14" s="75">
        <v>33</v>
      </c>
      <c r="AD14" s="75">
        <v>33</v>
      </c>
      <c r="AE14" s="75"/>
      <c r="AF14" s="75"/>
      <c r="AG14" s="75"/>
      <c r="AH14" s="75"/>
      <c r="AI14" s="75"/>
      <c r="AJ14" s="75"/>
      <c r="AK14" s="75"/>
      <c r="AL14" s="75"/>
      <c r="AM14" s="75"/>
      <c r="AN14" s="75"/>
      <c r="AO14" s="75"/>
      <c r="AP14" s="75"/>
      <c r="AQ14" s="75"/>
      <c r="AR14" s="75"/>
      <c r="AS14" s="75"/>
      <c r="AT14" s="75"/>
      <c r="AU14" s="75"/>
      <c r="AV14" s="75"/>
      <c r="AW14" s="75"/>
      <c r="AX14" s="75"/>
      <c r="AY14" s="75"/>
      <c r="AZ14" s="75"/>
      <c r="BA14" s="100"/>
      <c r="BB14" s="75"/>
      <c r="BC14" s="75"/>
      <c r="BD14" s="75"/>
    </row>
    <row r="15" spans="1:56" ht="15">
      <c r="A15" s="407"/>
      <c r="B15" s="31" t="s">
        <v>342</v>
      </c>
      <c r="C15" s="31"/>
      <c r="D15" s="33">
        <f>D6+D7+D8+D9+D10+D11+D12+D13+D14</f>
        <v>20836490</v>
      </c>
      <c r="E15" s="33">
        <f aca="true" t="shared" si="12" ref="E15:W15">E6+E7+E8+E9+E10+E11+E12+E13+E14</f>
        <v>33901282</v>
      </c>
      <c r="F15" s="33">
        <f t="shared" si="12"/>
        <v>50000000</v>
      </c>
      <c r="G15" s="33">
        <f t="shared" si="12"/>
        <v>16000000</v>
      </c>
      <c r="H15" s="33">
        <f t="shared" si="12"/>
        <v>120737772</v>
      </c>
      <c r="I15" s="33">
        <f t="shared" si="12"/>
        <v>3001040</v>
      </c>
      <c r="J15" s="33">
        <f t="shared" si="12"/>
        <v>24857333</v>
      </c>
      <c r="K15" s="33">
        <f t="shared" si="12"/>
        <v>25600000</v>
      </c>
      <c r="L15" s="33">
        <f t="shared" si="12"/>
        <v>0</v>
      </c>
      <c r="M15" s="33">
        <f t="shared" si="12"/>
        <v>50958373</v>
      </c>
      <c r="N15" s="33">
        <f t="shared" si="12"/>
        <v>3121081.6</v>
      </c>
      <c r="O15" s="33">
        <f t="shared" si="12"/>
        <v>25851626.32</v>
      </c>
      <c r="P15" s="33">
        <f t="shared" si="12"/>
        <v>26624000</v>
      </c>
      <c r="Q15" s="33">
        <f t="shared" si="12"/>
        <v>0</v>
      </c>
      <c r="R15" s="33">
        <f t="shared" si="12"/>
        <v>55596707.92</v>
      </c>
      <c r="S15" s="33">
        <f t="shared" si="12"/>
        <v>3245924.864</v>
      </c>
      <c r="T15" s="33">
        <f t="shared" si="12"/>
        <v>26885691.3728</v>
      </c>
      <c r="U15" s="33">
        <f t="shared" si="12"/>
        <v>27688960</v>
      </c>
      <c r="V15" s="33">
        <f t="shared" si="12"/>
        <v>0</v>
      </c>
      <c r="W15" s="33">
        <f t="shared" si="12"/>
        <v>57820576.23679999</v>
      </c>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row>
    <row r="16" spans="1:56" s="41" customFormat="1" ht="40.5" customHeight="1">
      <c r="A16" s="406" t="s">
        <v>128</v>
      </c>
      <c r="B16" s="38" t="s">
        <v>88</v>
      </c>
      <c r="C16" s="38"/>
      <c r="D16" s="39"/>
      <c r="E16" s="39">
        <v>2297254</v>
      </c>
      <c r="F16" s="39">
        <v>9143313</v>
      </c>
      <c r="G16" s="39"/>
      <c r="H16" s="40">
        <f t="shared" si="0"/>
        <v>11440567</v>
      </c>
      <c r="I16" s="39"/>
      <c r="J16" s="39"/>
      <c r="K16" s="39"/>
      <c r="L16" s="39"/>
      <c r="M16" s="40">
        <f t="shared" si="1"/>
        <v>0</v>
      </c>
      <c r="N16" s="39">
        <f t="shared" si="2"/>
        <v>0</v>
      </c>
      <c r="O16" s="39">
        <f t="shared" si="3"/>
        <v>0</v>
      </c>
      <c r="P16" s="40">
        <f t="shared" si="4"/>
        <v>0</v>
      </c>
      <c r="Q16" s="40">
        <f t="shared" si="5"/>
        <v>0</v>
      </c>
      <c r="R16" s="40">
        <f t="shared" si="6"/>
        <v>0</v>
      </c>
      <c r="S16" s="40">
        <f t="shared" si="7"/>
        <v>0</v>
      </c>
      <c r="T16" s="39">
        <f t="shared" si="8"/>
        <v>0</v>
      </c>
      <c r="U16" s="40">
        <f t="shared" si="9"/>
        <v>0</v>
      </c>
      <c r="V16" s="40">
        <f t="shared" si="10"/>
        <v>0</v>
      </c>
      <c r="W16" s="40">
        <f t="shared" si="11"/>
        <v>0</v>
      </c>
      <c r="X16" s="75"/>
      <c r="Y16" s="75">
        <v>0</v>
      </c>
      <c r="Z16" s="75">
        <v>7</v>
      </c>
      <c r="AA16" s="75">
        <v>1</v>
      </c>
      <c r="AB16" s="75">
        <v>2</v>
      </c>
      <c r="AC16" s="75">
        <v>2</v>
      </c>
      <c r="AD16" s="75">
        <v>2</v>
      </c>
      <c r="AE16" s="75"/>
      <c r="AF16" s="75"/>
      <c r="AG16" s="75"/>
      <c r="AH16" s="75"/>
      <c r="AI16" s="75"/>
      <c r="AJ16" s="75"/>
      <c r="AK16" s="75"/>
      <c r="AL16" s="75"/>
      <c r="AM16" s="75"/>
      <c r="AN16" s="75"/>
      <c r="AO16" s="75"/>
      <c r="AP16" s="75"/>
      <c r="AQ16" s="75"/>
      <c r="AR16" s="75"/>
      <c r="AS16" s="75"/>
      <c r="AT16" s="75"/>
      <c r="AU16" s="75"/>
      <c r="AV16" s="75"/>
      <c r="AW16" s="75"/>
      <c r="AX16" s="75"/>
      <c r="AY16" s="75"/>
      <c r="AZ16" s="75"/>
      <c r="BA16" s="91"/>
      <c r="BB16" s="75"/>
      <c r="BC16" s="75"/>
      <c r="BD16" s="75"/>
    </row>
    <row r="17" spans="1:56" s="41" customFormat="1" ht="29.25" customHeight="1">
      <c r="A17" s="408"/>
      <c r="B17" s="38" t="s">
        <v>89</v>
      </c>
      <c r="C17" s="38"/>
      <c r="D17" s="39"/>
      <c r="E17" s="39"/>
      <c r="F17" s="39"/>
      <c r="G17" s="39"/>
      <c r="H17" s="40"/>
      <c r="I17" s="39"/>
      <c r="J17" s="39"/>
      <c r="K17" s="39"/>
      <c r="L17" s="39"/>
      <c r="M17" s="40"/>
      <c r="N17" s="39"/>
      <c r="O17" s="39"/>
      <c r="P17" s="40"/>
      <c r="Q17" s="40"/>
      <c r="R17" s="40"/>
      <c r="S17" s="40"/>
      <c r="T17" s="39"/>
      <c r="U17" s="40"/>
      <c r="V17" s="40"/>
      <c r="W17" s="40"/>
      <c r="X17" s="75"/>
      <c r="Y17" s="75">
        <v>0</v>
      </c>
      <c r="Z17" s="75">
        <v>1</v>
      </c>
      <c r="AA17" s="75">
        <v>0</v>
      </c>
      <c r="AB17" s="75">
        <v>1</v>
      </c>
      <c r="AC17" s="75">
        <v>0</v>
      </c>
      <c r="AD17" s="75">
        <v>0</v>
      </c>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row>
    <row r="18" spans="1:56" s="41" customFormat="1" ht="39.75" customHeight="1">
      <c r="A18" s="408"/>
      <c r="B18" s="38" t="s">
        <v>90</v>
      </c>
      <c r="C18" s="38"/>
      <c r="D18" s="39"/>
      <c r="E18" s="39"/>
      <c r="F18" s="39"/>
      <c r="G18" s="39"/>
      <c r="H18" s="40">
        <f t="shared" si="0"/>
        <v>0</v>
      </c>
      <c r="I18" s="39"/>
      <c r="J18" s="39">
        <f>2389144</f>
        <v>2389144</v>
      </c>
      <c r="K18" s="39"/>
      <c r="L18" s="39"/>
      <c r="M18" s="40">
        <f t="shared" si="1"/>
        <v>2389144</v>
      </c>
      <c r="N18" s="39">
        <f t="shared" si="2"/>
        <v>0</v>
      </c>
      <c r="O18" s="39">
        <f t="shared" si="3"/>
        <v>2484709.76</v>
      </c>
      <c r="P18" s="40">
        <f t="shared" si="4"/>
        <v>0</v>
      </c>
      <c r="Q18" s="40">
        <f t="shared" si="5"/>
        <v>0</v>
      </c>
      <c r="R18" s="40">
        <f t="shared" si="6"/>
        <v>2484709.76</v>
      </c>
      <c r="S18" s="40">
        <f t="shared" si="7"/>
        <v>0</v>
      </c>
      <c r="T18" s="39">
        <f t="shared" si="8"/>
        <v>2584098.1503999997</v>
      </c>
      <c r="U18" s="40">
        <f t="shared" si="9"/>
        <v>0</v>
      </c>
      <c r="V18" s="40">
        <f t="shared" si="10"/>
        <v>0</v>
      </c>
      <c r="W18" s="40">
        <f t="shared" si="11"/>
        <v>2584098.1503999997</v>
      </c>
      <c r="X18" s="75"/>
      <c r="Y18" s="75">
        <v>0</v>
      </c>
      <c r="Z18" s="75">
        <v>7</v>
      </c>
      <c r="AA18" s="75">
        <v>0</v>
      </c>
      <c r="AB18" s="75">
        <v>2</v>
      </c>
      <c r="AC18" s="75">
        <v>3</v>
      </c>
      <c r="AD18" s="75">
        <v>2</v>
      </c>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row>
    <row r="19" spans="1:56" s="41" customFormat="1" ht="29.25" customHeight="1">
      <c r="A19" s="408"/>
      <c r="B19" s="38" t="s">
        <v>360</v>
      </c>
      <c r="C19" s="38"/>
      <c r="D19" s="39"/>
      <c r="E19" s="39"/>
      <c r="F19" s="39"/>
      <c r="G19" s="39"/>
      <c r="H19" s="40">
        <f t="shared" si="0"/>
        <v>0</v>
      </c>
      <c r="I19" s="39"/>
      <c r="J19" s="39"/>
      <c r="K19" s="39">
        <v>5200000</v>
      </c>
      <c r="L19" s="39"/>
      <c r="M19" s="40">
        <f t="shared" si="1"/>
        <v>5200000</v>
      </c>
      <c r="N19" s="39">
        <f t="shared" si="2"/>
        <v>0</v>
      </c>
      <c r="O19" s="39">
        <f t="shared" si="3"/>
        <v>0</v>
      </c>
      <c r="P19" s="40">
        <f t="shared" si="4"/>
        <v>5408000</v>
      </c>
      <c r="Q19" s="40">
        <f t="shared" si="5"/>
        <v>0</v>
      </c>
      <c r="R19" s="40">
        <f t="shared" si="6"/>
        <v>5408000</v>
      </c>
      <c r="S19" s="40">
        <f t="shared" si="7"/>
        <v>0</v>
      </c>
      <c r="T19" s="39">
        <f t="shared" si="8"/>
        <v>0</v>
      </c>
      <c r="U19" s="40">
        <f t="shared" si="9"/>
        <v>5624320</v>
      </c>
      <c r="V19" s="40">
        <f t="shared" si="10"/>
        <v>0</v>
      </c>
      <c r="W19" s="40">
        <f t="shared" si="11"/>
        <v>5624320</v>
      </c>
      <c r="X19" s="75"/>
      <c r="Y19" s="75">
        <v>1</v>
      </c>
      <c r="Z19" s="75">
        <v>1</v>
      </c>
      <c r="AA19" s="75">
        <v>0</v>
      </c>
      <c r="AB19" s="75">
        <v>0</v>
      </c>
      <c r="AC19" s="75">
        <v>1</v>
      </c>
      <c r="AD19" s="75">
        <v>0</v>
      </c>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row>
    <row r="20" spans="1:56" s="41" customFormat="1" ht="31.5" customHeight="1">
      <c r="A20" s="408"/>
      <c r="B20" s="38" t="s">
        <v>91</v>
      </c>
      <c r="C20" s="38"/>
      <c r="D20" s="39"/>
      <c r="E20" s="39">
        <v>6000000</v>
      </c>
      <c r="F20" s="39"/>
      <c r="G20" s="39"/>
      <c r="H20" s="40">
        <f t="shared" si="0"/>
        <v>6000000</v>
      </c>
      <c r="I20" s="39"/>
      <c r="J20" s="39"/>
      <c r="K20" s="39">
        <v>6240000</v>
      </c>
      <c r="L20" s="39"/>
      <c r="M20" s="40">
        <f t="shared" si="1"/>
        <v>6240000</v>
      </c>
      <c r="N20" s="39">
        <f t="shared" si="2"/>
        <v>0</v>
      </c>
      <c r="O20" s="39">
        <f t="shared" si="3"/>
        <v>0</v>
      </c>
      <c r="P20" s="40">
        <f t="shared" si="4"/>
        <v>6489600</v>
      </c>
      <c r="Q20" s="40">
        <f t="shared" si="5"/>
        <v>0</v>
      </c>
      <c r="R20" s="40">
        <f t="shared" si="6"/>
        <v>6489600</v>
      </c>
      <c r="S20" s="40">
        <f t="shared" si="7"/>
        <v>0</v>
      </c>
      <c r="T20" s="39">
        <f t="shared" si="8"/>
        <v>0</v>
      </c>
      <c r="U20" s="40">
        <f t="shared" si="9"/>
        <v>6749184</v>
      </c>
      <c r="V20" s="40">
        <f t="shared" si="10"/>
        <v>0</v>
      </c>
      <c r="W20" s="40">
        <f t="shared" si="11"/>
        <v>6749184</v>
      </c>
      <c r="X20" s="75"/>
      <c r="Y20" s="75">
        <v>7</v>
      </c>
      <c r="Z20" s="75">
        <v>7</v>
      </c>
      <c r="AA20" s="75">
        <v>0</v>
      </c>
      <c r="AB20" s="75">
        <v>2</v>
      </c>
      <c r="AC20" s="75">
        <v>3</v>
      </c>
      <c r="AD20" s="75">
        <v>2</v>
      </c>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row>
    <row r="21" spans="1:56" s="41" customFormat="1" ht="25.5" customHeight="1">
      <c r="A21" s="408"/>
      <c r="B21" s="38" t="s">
        <v>92</v>
      </c>
      <c r="C21" s="38"/>
      <c r="D21" s="39"/>
      <c r="E21" s="39"/>
      <c r="F21" s="39"/>
      <c r="G21" s="39"/>
      <c r="H21" s="40">
        <f t="shared" si="0"/>
        <v>0</v>
      </c>
      <c r="I21" s="39">
        <v>4000000</v>
      </c>
      <c r="J21" s="39"/>
      <c r="K21" s="39"/>
      <c r="L21" s="39"/>
      <c r="M21" s="40">
        <f t="shared" si="1"/>
        <v>4000000</v>
      </c>
      <c r="N21" s="39">
        <f t="shared" si="2"/>
        <v>4160000</v>
      </c>
      <c r="O21" s="39">
        <f t="shared" si="3"/>
        <v>0</v>
      </c>
      <c r="P21" s="40">
        <f t="shared" si="4"/>
        <v>0</v>
      </c>
      <c r="Q21" s="40">
        <f t="shared" si="5"/>
        <v>0</v>
      </c>
      <c r="R21" s="40">
        <f t="shared" si="6"/>
        <v>4160000</v>
      </c>
      <c r="S21" s="40">
        <f t="shared" si="7"/>
        <v>4326400</v>
      </c>
      <c r="T21" s="39">
        <f t="shared" si="8"/>
        <v>0</v>
      </c>
      <c r="U21" s="40">
        <f t="shared" si="9"/>
        <v>0</v>
      </c>
      <c r="V21" s="40">
        <f t="shared" si="10"/>
        <v>0</v>
      </c>
      <c r="W21" s="40">
        <f t="shared" si="11"/>
        <v>4326400</v>
      </c>
      <c r="X21" s="75"/>
      <c r="Y21" s="75">
        <v>0</v>
      </c>
      <c r="Z21" s="86">
        <v>1</v>
      </c>
      <c r="AA21" s="75">
        <v>25</v>
      </c>
      <c r="AB21" s="75">
        <v>25</v>
      </c>
      <c r="AC21" s="75">
        <v>25</v>
      </c>
      <c r="AD21" s="75">
        <v>25</v>
      </c>
      <c r="AE21" s="75"/>
      <c r="AF21" s="75"/>
      <c r="AG21" s="75"/>
      <c r="AH21" s="75"/>
      <c r="AI21" s="75"/>
      <c r="AJ21" s="75"/>
      <c r="AK21" s="75"/>
      <c r="AL21" s="75"/>
      <c r="AM21" s="75"/>
      <c r="AN21" s="75"/>
      <c r="AO21" s="75"/>
      <c r="AP21" s="75"/>
      <c r="AQ21" s="75"/>
      <c r="AR21" s="75"/>
      <c r="AS21" s="75"/>
      <c r="AT21" s="75"/>
      <c r="AU21" s="75"/>
      <c r="AV21" s="75"/>
      <c r="AW21" s="75"/>
      <c r="AX21" s="75"/>
      <c r="AY21" s="75"/>
      <c r="AZ21" s="75"/>
      <c r="BA21" s="91"/>
      <c r="BB21" s="75"/>
      <c r="BC21" s="75"/>
      <c r="BD21" s="75"/>
    </row>
    <row r="22" spans="1:56" s="41" customFormat="1" ht="24.75" customHeight="1">
      <c r="A22" s="408"/>
      <c r="B22" s="38" t="s">
        <v>93</v>
      </c>
      <c r="C22" s="38"/>
      <c r="D22" s="39"/>
      <c r="E22" s="39"/>
      <c r="F22" s="39"/>
      <c r="G22" s="39"/>
      <c r="H22" s="40">
        <f t="shared" si="0"/>
        <v>0</v>
      </c>
      <c r="I22" s="39"/>
      <c r="J22" s="39"/>
      <c r="K22" s="39"/>
      <c r="L22" s="39"/>
      <c r="M22" s="40">
        <f t="shared" si="1"/>
        <v>0</v>
      </c>
      <c r="N22" s="39">
        <f t="shared" si="2"/>
        <v>0</v>
      </c>
      <c r="O22" s="39">
        <f t="shared" si="3"/>
        <v>0</v>
      </c>
      <c r="P22" s="40">
        <f t="shared" si="4"/>
        <v>0</v>
      </c>
      <c r="Q22" s="40">
        <f t="shared" si="5"/>
        <v>0</v>
      </c>
      <c r="R22" s="40">
        <f t="shared" si="6"/>
        <v>0</v>
      </c>
      <c r="S22" s="40">
        <f t="shared" si="7"/>
        <v>0</v>
      </c>
      <c r="T22" s="39">
        <f t="shared" si="8"/>
        <v>0</v>
      </c>
      <c r="U22" s="40">
        <f t="shared" si="9"/>
        <v>0</v>
      </c>
      <c r="V22" s="40">
        <f t="shared" si="10"/>
        <v>0</v>
      </c>
      <c r="W22" s="40">
        <f t="shared" si="11"/>
        <v>0</v>
      </c>
      <c r="X22" s="75"/>
      <c r="Y22" s="75">
        <v>10</v>
      </c>
      <c r="Z22" s="75">
        <v>60</v>
      </c>
      <c r="AA22" s="75">
        <v>0</v>
      </c>
      <c r="AB22" s="75">
        <v>20</v>
      </c>
      <c r="AC22" s="75">
        <v>20</v>
      </c>
      <c r="AD22" s="75">
        <v>20</v>
      </c>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row>
    <row r="23" spans="1:56" s="41" customFormat="1" ht="39" customHeight="1">
      <c r="A23" s="408"/>
      <c r="B23" s="38" t="s">
        <v>94</v>
      </c>
      <c r="C23" s="38"/>
      <c r="D23" s="39"/>
      <c r="E23" s="39"/>
      <c r="F23" s="39"/>
      <c r="G23" s="39"/>
      <c r="H23" s="40">
        <f t="shared" si="0"/>
        <v>0</v>
      </c>
      <c r="I23" s="39"/>
      <c r="J23" s="39">
        <v>1891809</v>
      </c>
      <c r="K23" s="39"/>
      <c r="L23" s="39"/>
      <c r="M23" s="40">
        <f t="shared" si="1"/>
        <v>1891809</v>
      </c>
      <c r="N23" s="39">
        <f t="shared" si="2"/>
        <v>0</v>
      </c>
      <c r="O23" s="39">
        <f t="shared" si="3"/>
        <v>1967481.36</v>
      </c>
      <c r="P23" s="40">
        <f t="shared" si="4"/>
        <v>0</v>
      </c>
      <c r="Q23" s="40">
        <f t="shared" si="5"/>
        <v>0</v>
      </c>
      <c r="R23" s="40">
        <f t="shared" si="6"/>
        <v>1967481.36</v>
      </c>
      <c r="S23" s="40">
        <f t="shared" si="7"/>
        <v>0</v>
      </c>
      <c r="T23" s="39">
        <f t="shared" si="8"/>
        <v>2046180.6144</v>
      </c>
      <c r="U23" s="40">
        <f t="shared" si="9"/>
        <v>0</v>
      </c>
      <c r="V23" s="40">
        <f t="shared" si="10"/>
        <v>0</v>
      </c>
      <c r="W23" s="40">
        <f t="shared" si="11"/>
        <v>2046180.6144</v>
      </c>
      <c r="X23" s="75"/>
      <c r="Y23" s="75">
        <v>0</v>
      </c>
      <c r="Z23" s="75">
        <v>7</v>
      </c>
      <c r="AA23" s="75">
        <v>0</v>
      </c>
      <c r="AB23" s="75">
        <v>2</v>
      </c>
      <c r="AC23" s="75">
        <v>3</v>
      </c>
      <c r="AD23" s="75">
        <v>2</v>
      </c>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row>
    <row r="24" spans="1:56" s="41" customFormat="1" ht="60" customHeight="1">
      <c r="A24" s="408"/>
      <c r="B24" s="38" t="s">
        <v>95</v>
      </c>
      <c r="C24" s="38"/>
      <c r="D24" s="39">
        <v>8000000</v>
      </c>
      <c r="E24" s="39"/>
      <c r="F24" s="39"/>
      <c r="G24" s="39"/>
      <c r="H24" s="40">
        <f t="shared" si="0"/>
        <v>8000000</v>
      </c>
      <c r="I24" s="39">
        <f>+D24*4%+D24</f>
        <v>8320000</v>
      </c>
      <c r="J24" s="39">
        <v>4320000</v>
      </c>
      <c r="K24" s="39"/>
      <c r="L24" s="39"/>
      <c r="M24" s="40">
        <f t="shared" si="1"/>
        <v>12640000</v>
      </c>
      <c r="N24" s="39">
        <f t="shared" si="2"/>
        <v>8652800</v>
      </c>
      <c r="O24" s="39">
        <f t="shared" si="3"/>
        <v>4492800</v>
      </c>
      <c r="P24" s="40">
        <f t="shared" si="4"/>
        <v>0</v>
      </c>
      <c r="Q24" s="40">
        <f t="shared" si="5"/>
        <v>0</v>
      </c>
      <c r="R24" s="40">
        <f t="shared" si="6"/>
        <v>13145600</v>
      </c>
      <c r="S24" s="40">
        <f t="shared" si="7"/>
        <v>8998912</v>
      </c>
      <c r="T24" s="39">
        <f t="shared" si="8"/>
        <v>4672512</v>
      </c>
      <c r="U24" s="40">
        <f t="shared" si="9"/>
        <v>0</v>
      </c>
      <c r="V24" s="40">
        <f t="shared" si="10"/>
        <v>0</v>
      </c>
      <c r="W24" s="40">
        <f t="shared" si="11"/>
        <v>13671424</v>
      </c>
      <c r="X24" s="75"/>
      <c r="Y24" s="88">
        <v>15</v>
      </c>
      <c r="Z24" s="75">
        <v>215</v>
      </c>
      <c r="AA24" s="75">
        <v>60</v>
      </c>
      <c r="AB24" s="75">
        <v>40</v>
      </c>
      <c r="AC24" s="75">
        <v>60</v>
      </c>
      <c r="AD24" s="75">
        <v>40</v>
      </c>
      <c r="AE24" s="75"/>
      <c r="AF24" s="75"/>
      <c r="AG24" s="75"/>
      <c r="AH24" s="75"/>
      <c r="AI24" s="75"/>
      <c r="AJ24" s="75"/>
      <c r="AK24" s="75"/>
      <c r="AL24" s="75"/>
      <c r="AM24" s="75"/>
      <c r="AN24" s="75"/>
      <c r="AO24" s="75"/>
      <c r="AP24" s="75"/>
      <c r="AQ24" s="75"/>
      <c r="AR24" s="75"/>
      <c r="AS24" s="75"/>
      <c r="AT24" s="75"/>
      <c r="AU24" s="75"/>
      <c r="AV24" s="75"/>
      <c r="AW24" s="75"/>
      <c r="AX24" s="75"/>
      <c r="AY24" s="75"/>
      <c r="AZ24" s="75"/>
      <c r="BA24" s="91"/>
      <c r="BB24" s="75"/>
      <c r="BC24" s="75"/>
      <c r="BD24" s="75"/>
    </row>
    <row r="25" spans="1:56" s="41" customFormat="1" ht="49.5" customHeight="1">
      <c r="A25" s="408"/>
      <c r="B25" s="38" t="s">
        <v>96</v>
      </c>
      <c r="C25" s="38"/>
      <c r="D25" s="39"/>
      <c r="E25" s="39"/>
      <c r="F25" s="39"/>
      <c r="G25" s="39"/>
      <c r="H25" s="40">
        <f t="shared" si="0"/>
        <v>0</v>
      </c>
      <c r="I25" s="39"/>
      <c r="J25" s="39"/>
      <c r="K25" s="39"/>
      <c r="L25" s="39"/>
      <c r="M25" s="40">
        <f t="shared" si="1"/>
        <v>0</v>
      </c>
      <c r="N25" s="39">
        <f t="shared" si="2"/>
        <v>0</v>
      </c>
      <c r="O25" s="39">
        <f t="shared" si="3"/>
        <v>0</v>
      </c>
      <c r="P25" s="40">
        <f t="shared" si="4"/>
        <v>0</v>
      </c>
      <c r="Q25" s="40">
        <f t="shared" si="5"/>
        <v>0</v>
      </c>
      <c r="R25" s="40">
        <f t="shared" si="6"/>
        <v>0</v>
      </c>
      <c r="S25" s="40">
        <f t="shared" si="7"/>
        <v>0</v>
      </c>
      <c r="T25" s="39">
        <f t="shared" si="8"/>
        <v>0</v>
      </c>
      <c r="U25" s="40">
        <f t="shared" si="9"/>
        <v>0</v>
      </c>
      <c r="V25" s="40">
        <f t="shared" si="10"/>
        <v>0</v>
      </c>
      <c r="W25" s="40">
        <f t="shared" si="11"/>
        <v>0</v>
      </c>
      <c r="X25" s="75"/>
      <c r="Y25" s="87">
        <v>0</v>
      </c>
      <c r="Z25" s="86">
        <v>0.2</v>
      </c>
      <c r="AA25" s="86">
        <v>0.05</v>
      </c>
      <c r="AB25" s="87">
        <v>0.05</v>
      </c>
      <c r="AC25" s="86">
        <v>0.05</v>
      </c>
      <c r="AD25" s="86">
        <v>0.05</v>
      </c>
      <c r="AE25" s="75"/>
      <c r="AF25" s="75"/>
      <c r="AG25" s="75"/>
      <c r="AH25" s="75"/>
      <c r="AI25" s="75"/>
      <c r="AJ25" s="75"/>
      <c r="AK25" s="75"/>
      <c r="AL25" s="75"/>
      <c r="AM25" s="75"/>
      <c r="AN25" s="75"/>
      <c r="AO25" s="75"/>
      <c r="AP25" s="75"/>
      <c r="AQ25" s="75"/>
      <c r="AR25" s="75"/>
      <c r="AS25" s="75"/>
      <c r="AT25" s="75"/>
      <c r="AU25" s="75"/>
      <c r="AV25" s="75"/>
      <c r="AW25" s="75"/>
      <c r="AX25" s="75"/>
      <c r="AY25" s="75"/>
      <c r="AZ25" s="75"/>
      <c r="BA25" s="91"/>
      <c r="BB25" s="75"/>
      <c r="BC25" s="75"/>
      <c r="BD25" s="75"/>
    </row>
    <row r="26" spans="1:56" ht="15">
      <c r="A26" s="407"/>
      <c r="B26" s="31" t="s">
        <v>342</v>
      </c>
      <c r="C26" s="31"/>
      <c r="D26" s="33">
        <f>D16+D17+D18+D19+D20+D21+D22+D23+D24+D25</f>
        <v>8000000</v>
      </c>
      <c r="E26" s="33">
        <f>E16+E17+E18+E19+E20+E21+E22+E23+E24+E25</f>
        <v>8297254</v>
      </c>
      <c r="F26" s="33">
        <f aca="true" t="shared" si="13" ref="F26:W26">F16+F17+F18+F19+F20+F21+F22+F23+F24+F25</f>
        <v>9143313</v>
      </c>
      <c r="G26" s="33">
        <f t="shared" si="13"/>
        <v>0</v>
      </c>
      <c r="H26" s="33">
        <f t="shared" si="13"/>
        <v>25440567</v>
      </c>
      <c r="I26" s="33">
        <f t="shared" si="13"/>
        <v>12320000</v>
      </c>
      <c r="J26" s="33">
        <f t="shared" si="13"/>
        <v>8600953</v>
      </c>
      <c r="K26" s="33">
        <f t="shared" si="13"/>
        <v>11440000</v>
      </c>
      <c r="L26" s="33">
        <f t="shared" si="13"/>
        <v>0</v>
      </c>
      <c r="M26" s="33">
        <f t="shared" si="13"/>
        <v>32360953</v>
      </c>
      <c r="N26" s="33">
        <f t="shared" si="13"/>
        <v>12812800</v>
      </c>
      <c r="O26" s="33">
        <f t="shared" si="13"/>
        <v>8944991.120000001</v>
      </c>
      <c r="P26" s="33">
        <f t="shared" si="13"/>
        <v>11897600</v>
      </c>
      <c r="Q26" s="33">
        <f t="shared" si="13"/>
        <v>0</v>
      </c>
      <c r="R26" s="33">
        <f t="shared" si="13"/>
        <v>33655391.12</v>
      </c>
      <c r="S26" s="33">
        <f t="shared" si="13"/>
        <v>13325312</v>
      </c>
      <c r="T26" s="33">
        <f t="shared" si="13"/>
        <v>9302790.764800001</v>
      </c>
      <c r="U26" s="33">
        <f t="shared" si="13"/>
        <v>12373504</v>
      </c>
      <c r="V26" s="33">
        <f t="shared" si="13"/>
        <v>0</v>
      </c>
      <c r="W26" s="33">
        <f t="shared" si="13"/>
        <v>35001606.7648</v>
      </c>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row>
    <row r="27" spans="1:56" s="11" customFormat="1" ht="15">
      <c r="A27" s="409" t="s">
        <v>24</v>
      </c>
      <c r="B27" s="410"/>
      <c r="C27" s="69"/>
      <c r="D27" s="51">
        <v>21436490</v>
      </c>
      <c r="E27" s="51">
        <v>137825170</v>
      </c>
      <c r="F27" s="53">
        <v>22357940</v>
      </c>
      <c r="G27" s="51">
        <v>420000</v>
      </c>
      <c r="H27" s="51">
        <f>D27+E27+F27+G27</f>
        <v>182039600</v>
      </c>
      <c r="I27" s="58">
        <v>1216800</v>
      </c>
      <c r="J27" s="51">
        <v>140517661</v>
      </c>
      <c r="K27" s="51">
        <v>0</v>
      </c>
      <c r="L27" s="51">
        <v>21796258</v>
      </c>
      <c r="M27" s="51">
        <f>I27+J27+K27+L27</f>
        <v>163530719</v>
      </c>
      <c r="N27" s="51">
        <v>5365472</v>
      </c>
      <c r="O27" s="59">
        <v>146212367</v>
      </c>
      <c r="P27" s="59">
        <f>SUM(P28:P72)</f>
        <v>0</v>
      </c>
      <c r="Q27" s="59">
        <v>22668108</v>
      </c>
      <c r="R27" s="59">
        <f>N27+O27+P27+Q27</f>
        <v>174245947</v>
      </c>
      <c r="S27" s="59">
        <v>1316091</v>
      </c>
      <c r="T27" s="59">
        <v>151983902</v>
      </c>
      <c r="U27" s="59">
        <v>0</v>
      </c>
      <c r="V27" s="59">
        <v>23574833</v>
      </c>
      <c r="W27" s="59">
        <f>S27+T27+V27</f>
        <v>176874826</v>
      </c>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row>
    <row r="28" spans="1:56" s="41" customFormat="1" ht="24">
      <c r="A28" s="406" t="s">
        <v>129</v>
      </c>
      <c r="B28" s="38" t="s">
        <v>99</v>
      </c>
      <c r="C28" s="38"/>
      <c r="D28" s="39">
        <v>1170000</v>
      </c>
      <c r="E28" s="39">
        <v>116994468</v>
      </c>
      <c r="F28" s="39"/>
      <c r="G28" s="39">
        <f>11703739+7940201</f>
        <v>19643940</v>
      </c>
      <c r="H28" s="39">
        <f t="shared" si="0"/>
        <v>137808408</v>
      </c>
      <c r="I28" s="39">
        <f>+D28*4%+D28</f>
        <v>1216800</v>
      </c>
      <c r="J28" s="39">
        <v>121674247</v>
      </c>
      <c r="K28" s="39"/>
      <c r="L28" s="39">
        <f>12171889+8257809</f>
        <v>20429698</v>
      </c>
      <c r="M28" s="39">
        <f aca="true" t="shared" si="14" ref="M28:M66">SUM(I28:L28)</f>
        <v>143320745</v>
      </c>
      <c r="N28" s="39">
        <f>+I28*4%+I28</f>
        <v>1265472</v>
      </c>
      <c r="O28" s="39">
        <f>+J28*4%+J28</f>
        <v>126541216.88</v>
      </c>
      <c r="P28" s="39">
        <f>+K28*4%+K28</f>
        <v>0</v>
      </c>
      <c r="Q28" s="39">
        <f>+L28*4%+L28</f>
        <v>21246885.92</v>
      </c>
      <c r="R28" s="39">
        <f t="shared" si="6"/>
        <v>149053574.8</v>
      </c>
      <c r="S28" s="39">
        <f t="shared" si="7"/>
        <v>1316090.88</v>
      </c>
      <c r="T28" s="39">
        <f t="shared" si="8"/>
        <v>131602865.5552</v>
      </c>
      <c r="U28" s="39">
        <f t="shared" si="9"/>
        <v>0</v>
      </c>
      <c r="V28" s="39">
        <f t="shared" si="10"/>
        <v>22096761.3568</v>
      </c>
      <c r="W28" s="39">
        <f t="shared" si="11"/>
        <v>155015717.792</v>
      </c>
      <c r="X28" s="75"/>
      <c r="Y28" s="75">
        <v>640</v>
      </c>
      <c r="Z28" s="75">
        <v>620</v>
      </c>
      <c r="AA28" s="75">
        <v>620</v>
      </c>
      <c r="AB28" s="75">
        <v>620</v>
      </c>
      <c r="AC28" s="75">
        <v>620</v>
      </c>
      <c r="AD28" s="75">
        <v>620</v>
      </c>
      <c r="AE28" s="75"/>
      <c r="AF28" s="75"/>
      <c r="AG28" s="75"/>
      <c r="AH28" s="75"/>
      <c r="AI28" s="75"/>
      <c r="AJ28" s="75"/>
      <c r="AK28" s="75"/>
      <c r="AL28" s="75"/>
      <c r="AM28" s="75"/>
      <c r="AN28" s="75"/>
      <c r="AO28" s="75"/>
      <c r="AP28" s="75"/>
      <c r="AQ28" s="75"/>
      <c r="AR28" s="75"/>
      <c r="AS28" s="75"/>
      <c r="AT28" s="75"/>
      <c r="AU28" s="75"/>
      <c r="AV28" s="75"/>
      <c r="AW28" s="75"/>
      <c r="AX28" s="75"/>
      <c r="AY28" s="75"/>
      <c r="AZ28" s="75"/>
      <c r="BA28" s="75" t="s">
        <v>375</v>
      </c>
      <c r="BB28" s="75"/>
      <c r="BC28" s="75"/>
      <c r="BD28" s="75"/>
    </row>
    <row r="29" spans="1:56" s="41" customFormat="1" ht="24">
      <c r="A29" s="408"/>
      <c r="B29" s="38" t="s">
        <v>97</v>
      </c>
      <c r="C29" s="38"/>
      <c r="D29" s="39">
        <v>0</v>
      </c>
      <c r="E29" s="39">
        <v>4686000</v>
      </c>
      <c r="F29" s="39"/>
      <c r="G29" s="39">
        <v>1314000</v>
      </c>
      <c r="H29" s="39">
        <f t="shared" si="0"/>
        <v>6000000</v>
      </c>
      <c r="I29" s="39"/>
      <c r="J29" s="39">
        <f>1753440+3120000</f>
        <v>4873440</v>
      </c>
      <c r="K29" s="39"/>
      <c r="L29" s="39">
        <f>911040+455520</f>
        <v>1366560</v>
      </c>
      <c r="M29" s="39">
        <f t="shared" si="14"/>
        <v>6240000</v>
      </c>
      <c r="N29" s="39">
        <f aca="true" t="shared" si="15" ref="N29:N66">+I29*4%+I29</f>
        <v>0</v>
      </c>
      <c r="O29" s="39">
        <f aca="true" t="shared" si="16" ref="O29:O66">+J29*4%+J29</f>
        <v>5068377.6</v>
      </c>
      <c r="P29" s="39">
        <f aca="true" t="shared" si="17" ref="P29:P66">+K29*4%+K29</f>
        <v>0</v>
      </c>
      <c r="Q29" s="39">
        <f aca="true" t="shared" si="18" ref="Q29:Q66">+L29*4%+L29</f>
        <v>1421222.4</v>
      </c>
      <c r="R29" s="39">
        <f t="shared" si="6"/>
        <v>6489600</v>
      </c>
      <c r="S29" s="39">
        <f t="shared" si="7"/>
        <v>0</v>
      </c>
      <c r="T29" s="39">
        <f t="shared" si="8"/>
        <v>5271112.704</v>
      </c>
      <c r="U29" s="39">
        <f t="shared" si="9"/>
        <v>0</v>
      </c>
      <c r="V29" s="39">
        <f t="shared" si="10"/>
        <v>1478071.2959999999</v>
      </c>
      <c r="W29" s="39">
        <f t="shared" si="11"/>
        <v>6749184</v>
      </c>
      <c r="X29" s="75"/>
      <c r="Y29" s="75">
        <v>100</v>
      </c>
      <c r="Z29" s="75">
        <v>100</v>
      </c>
      <c r="AA29" s="75">
        <v>100</v>
      </c>
      <c r="AB29" s="75">
        <v>100</v>
      </c>
      <c r="AC29" s="75">
        <v>100</v>
      </c>
      <c r="AD29" s="75">
        <v>100</v>
      </c>
      <c r="AE29" s="75"/>
      <c r="AF29" s="75"/>
      <c r="AG29" s="75"/>
      <c r="AH29" s="75"/>
      <c r="AI29" s="75"/>
      <c r="AJ29" s="75"/>
      <c r="AK29" s="75"/>
      <c r="AL29" s="75"/>
      <c r="AM29" s="75"/>
      <c r="AN29" s="75"/>
      <c r="AO29" s="75"/>
      <c r="AP29" s="75"/>
      <c r="AQ29" s="75"/>
      <c r="AR29" s="75"/>
      <c r="AS29" s="75"/>
      <c r="AT29" s="75"/>
      <c r="AU29" s="75"/>
      <c r="AV29" s="75"/>
      <c r="AW29" s="75"/>
      <c r="AX29" s="75"/>
      <c r="AY29" s="75"/>
      <c r="AZ29" s="75"/>
      <c r="BA29" s="75" t="s">
        <v>375</v>
      </c>
      <c r="BB29" s="75"/>
      <c r="BC29" s="75"/>
      <c r="BD29" s="75"/>
    </row>
    <row r="30" spans="1:56" s="41" customFormat="1" ht="24">
      <c r="A30" s="408"/>
      <c r="B30" s="38" t="s">
        <v>361</v>
      </c>
      <c r="C30" s="38"/>
      <c r="D30" s="39">
        <v>0</v>
      </c>
      <c r="E30" s="39">
        <v>200000</v>
      </c>
      <c r="F30" s="39"/>
      <c r="G30" s="39"/>
      <c r="H30" s="39">
        <f t="shared" si="0"/>
        <v>200000</v>
      </c>
      <c r="I30" s="39"/>
      <c r="J30" s="39">
        <v>208000</v>
      </c>
      <c r="K30" s="39"/>
      <c r="L30" s="39"/>
      <c r="M30" s="39">
        <f t="shared" si="14"/>
        <v>208000</v>
      </c>
      <c r="N30" s="39">
        <f t="shared" si="15"/>
        <v>0</v>
      </c>
      <c r="O30" s="39">
        <f t="shared" si="16"/>
        <v>216320</v>
      </c>
      <c r="P30" s="39">
        <f t="shared" si="17"/>
        <v>0</v>
      </c>
      <c r="Q30" s="39">
        <f t="shared" si="18"/>
        <v>0</v>
      </c>
      <c r="R30" s="39">
        <f t="shared" si="6"/>
        <v>216320</v>
      </c>
      <c r="S30" s="39">
        <f t="shared" si="7"/>
        <v>0</v>
      </c>
      <c r="T30" s="39">
        <f t="shared" si="8"/>
        <v>224972.8</v>
      </c>
      <c r="U30" s="39">
        <f t="shared" si="9"/>
        <v>0</v>
      </c>
      <c r="V30" s="39">
        <f t="shared" si="10"/>
        <v>0</v>
      </c>
      <c r="W30" s="39">
        <f t="shared" si="11"/>
        <v>224972.8</v>
      </c>
      <c r="X30" s="75"/>
      <c r="Y30" s="75">
        <v>100</v>
      </c>
      <c r="Z30" s="75">
        <v>100</v>
      </c>
      <c r="AA30" s="75">
        <v>100</v>
      </c>
      <c r="AB30" s="75">
        <v>100</v>
      </c>
      <c r="AC30" s="75">
        <v>100</v>
      </c>
      <c r="AD30" s="75">
        <v>100</v>
      </c>
      <c r="AE30" s="75"/>
      <c r="AF30" s="75"/>
      <c r="AG30" s="75"/>
      <c r="AH30" s="75"/>
      <c r="AI30" s="75"/>
      <c r="AJ30" s="75"/>
      <c r="AK30" s="75"/>
      <c r="AL30" s="75"/>
      <c r="AM30" s="75"/>
      <c r="AN30" s="75"/>
      <c r="AO30" s="75"/>
      <c r="AP30" s="75"/>
      <c r="AQ30" s="75"/>
      <c r="AR30" s="75"/>
      <c r="AS30" s="75"/>
      <c r="AT30" s="75"/>
      <c r="AU30" s="75"/>
      <c r="AV30" s="75"/>
      <c r="AW30" s="75"/>
      <c r="AX30" s="75"/>
      <c r="AY30" s="75"/>
      <c r="AZ30" s="75"/>
      <c r="BA30" s="75" t="s">
        <v>375</v>
      </c>
      <c r="BB30" s="75"/>
      <c r="BC30" s="75"/>
      <c r="BD30" s="75"/>
    </row>
    <row r="31" spans="1:56" s="41" customFormat="1" ht="24">
      <c r="A31" s="408"/>
      <c r="B31" s="38" t="s">
        <v>100</v>
      </c>
      <c r="C31" s="38"/>
      <c r="D31" s="39"/>
      <c r="E31" s="39">
        <v>200000</v>
      </c>
      <c r="F31" s="39"/>
      <c r="G31" s="39"/>
      <c r="H31" s="39">
        <f t="shared" si="0"/>
        <v>200000</v>
      </c>
      <c r="I31" s="39"/>
      <c r="J31" s="39">
        <v>208000</v>
      </c>
      <c r="K31" s="39"/>
      <c r="L31" s="39"/>
      <c r="M31" s="39">
        <f t="shared" si="14"/>
        <v>208000</v>
      </c>
      <c r="N31" s="39">
        <f t="shared" si="15"/>
        <v>0</v>
      </c>
      <c r="O31" s="39">
        <f t="shared" si="16"/>
        <v>216320</v>
      </c>
      <c r="P31" s="39">
        <f t="shared" si="17"/>
        <v>0</v>
      </c>
      <c r="Q31" s="39">
        <f t="shared" si="18"/>
        <v>0</v>
      </c>
      <c r="R31" s="39">
        <f t="shared" si="6"/>
        <v>216320</v>
      </c>
      <c r="S31" s="39">
        <f t="shared" si="7"/>
        <v>0</v>
      </c>
      <c r="T31" s="39">
        <f t="shared" si="8"/>
        <v>224972.8</v>
      </c>
      <c r="U31" s="39">
        <f t="shared" si="9"/>
        <v>0</v>
      </c>
      <c r="V31" s="39">
        <f t="shared" si="10"/>
        <v>0</v>
      </c>
      <c r="W31" s="39">
        <f t="shared" si="11"/>
        <v>224972.8</v>
      </c>
      <c r="X31" s="75"/>
      <c r="Y31" s="75">
        <v>100</v>
      </c>
      <c r="Z31" s="75">
        <v>100</v>
      </c>
      <c r="AA31" s="75">
        <v>100</v>
      </c>
      <c r="AB31" s="75">
        <v>100</v>
      </c>
      <c r="AC31" s="75">
        <v>100</v>
      </c>
      <c r="AD31" s="75">
        <v>100</v>
      </c>
      <c r="AE31" s="75"/>
      <c r="AF31" s="75"/>
      <c r="AG31" s="75"/>
      <c r="AH31" s="75"/>
      <c r="AI31" s="75"/>
      <c r="AJ31" s="75"/>
      <c r="AK31" s="75"/>
      <c r="AL31" s="75"/>
      <c r="AM31" s="75"/>
      <c r="AN31" s="75"/>
      <c r="AO31" s="75"/>
      <c r="AP31" s="75"/>
      <c r="AQ31" s="75"/>
      <c r="AR31" s="75"/>
      <c r="AS31" s="75"/>
      <c r="AT31" s="75"/>
      <c r="AU31" s="75"/>
      <c r="AV31" s="75"/>
      <c r="AW31" s="75"/>
      <c r="AX31" s="75"/>
      <c r="AY31" s="75"/>
      <c r="AZ31" s="75"/>
      <c r="BA31" s="75" t="s">
        <v>375</v>
      </c>
      <c r="BB31" s="75"/>
      <c r="BC31" s="75"/>
      <c r="BD31" s="75"/>
    </row>
    <row r="32" spans="1:56" s="41" customFormat="1" ht="24">
      <c r="A32" s="408"/>
      <c r="B32" s="38" t="s">
        <v>101</v>
      </c>
      <c r="C32" s="38"/>
      <c r="D32" s="39"/>
      <c r="E32" s="39">
        <v>100000</v>
      </c>
      <c r="F32" s="39"/>
      <c r="G32" s="39"/>
      <c r="H32" s="39">
        <f t="shared" si="0"/>
        <v>100000</v>
      </c>
      <c r="I32" s="39"/>
      <c r="J32" s="39">
        <v>108000</v>
      </c>
      <c r="K32" s="39"/>
      <c r="L32" s="39"/>
      <c r="M32" s="39">
        <f t="shared" si="14"/>
        <v>108000</v>
      </c>
      <c r="N32" s="39">
        <f t="shared" si="15"/>
        <v>0</v>
      </c>
      <c r="O32" s="39">
        <f t="shared" si="16"/>
        <v>112320</v>
      </c>
      <c r="P32" s="39">
        <f t="shared" si="17"/>
        <v>0</v>
      </c>
      <c r="Q32" s="39">
        <f t="shared" si="18"/>
        <v>0</v>
      </c>
      <c r="R32" s="39">
        <f t="shared" si="6"/>
        <v>112320</v>
      </c>
      <c r="S32" s="39">
        <f t="shared" si="7"/>
        <v>0</v>
      </c>
      <c r="T32" s="39">
        <f t="shared" si="8"/>
        <v>116812.8</v>
      </c>
      <c r="U32" s="39">
        <f t="shared" si="9"/>
        <v>0</v>
      </c>
      <c r="V32" s="39">
        <f t="shared" si="10"/>
        <v>0</v>
      </c>
      <c r="W32" s="39">
        <f t="shared" si="11"/>
        <v>116812.8</v>
      </c>
      <c r="X32" s="75"/>
      <c r="Y32" s="75">
        <v>100</v>
      </c>
      <c r="Z32" s="75">
        <v>100</v>
      </c>
      <c r="AA32" s="75">
        <v>100</v>
      </c>
      <c r="AB32" s="75">
        <v>100</v>
      </c>
      <c r="AC32" s="75">
        <v>100</v>
      </c>
      <c r="AD32" s="75">
        <v>100</v>
      </c>
      <c r="AE32" s="75"/>
      <c r="AF32" s="75"/>
      <c r="AG32" s="75"/>
      <c r="AH32" s="75"/>
      <c r="AI32" s="75"/>
      <c r="AJ32" s="75"/>
      <c r="AK32" s="75"/>
      <c r="AL32" s="75"/>
      <c r="AM32" s="75"/>
      <c r="AN32" s="75"/>
      <c r="AO32" s="75"/>
      <c r="AP32" s="75"/>
      <c r="AQ32" s="75"/>
      <c r="AR32" s="75"/>
      <c r="AS32" s="75"/>
      <c r="AT32" s="75"/>
      <c r="AU32" s="75"/>
      <c r="AV32" s="75"/>
      <c r="AW32" s="75"/>
      <c r="AX32" s="75"/>
      <c r="AY32" s="75"/>
      <c r="AZ32" s="75"/>
      <c r="BA32" s="75" t="s">
        <v>375</v>
      </c>
      <c r="BB32" s="75"/>
      <c r="BC32" s="75"/>
      <c r="BD32" s="75"/>
    </row>
    <row r="33" spans="1:56" s="41" customFormat="1" ht="24">
      <c r="A33" s="408"/>
      <c r="B33" s="38" t="s">
        <v>25</v>
      </c>
      <c r="C33" s="38"/>
      <c r="D33" s="39"/>
      <c r="E33" s="39">
        <v>0</v>
      </c>
      <c r="F33" s="39"/>
      <c r="G33" s="39">
        <v>0</v>
      </c>
      <c r="H33" s="39">
        <f t="shared" si="0"/>
        <v>0</v>
      </c>
      <c r="I33" s="39"/>
      <c r="J33" s="39">
        <v>108000</v>
      </c>
      <c r="K33" s="39"/>
      <c r="L33" s="39"/>
      <c r="M33" s="39">
        <f t="shared" si="14"/>
        <v>108000</v>
      </c>
      <c r="N33" s="39">
        <f t="shared" si="15"/>
        <v>0</v>
      </c>
      <c r="O33" s="39">
        <f t="shared" si="16"/>
        <v>112320</v>
      </c>
      <c r="P33" s="39">
        <f t="shared" si="17"/>
        <v>0</v>
      </c>
      <c r="Q33" s="39">
        <f t="shared" si="18"/>
        <v>0</v>
      </c>
      <c r="R33" s="39">
        <f t="shared" si="6"/>
        <v>112320</v>
      </c>
      <c r="S33" s="39">
        <f t="shared" si="7"/>
        <v>0</v>
      </c>
      <c r="T33" s="39">
        <f t="shared" si="8"/>
        <v>116812.8</v>
      </c>
      <c r="U33" s="39">
        <f t="shared" si="9"/>
        <v>0</v>
      </c>
      <c r="V33" s="39">
        <f t="shared" si="10"/>
        <v>0</v>
      </c>
      <c r="W33" s="39">
        <f t="shared" si="11"/>
        <v>116812.8</v>
      </c>
      <c r="X33" s="75"/>
      <c r="Y33" s="75">
        <v>100</v>
      </c>
      <c r="Z33" s="75">
        <v>100</v>
      </c>
      <c r="AA33" s="75">
        <v>100</v>
      </c>
      <c r="AB33" s="75">
        <v>100</v>
      </c>
      <c r="AC33" s="75">
        <v>100</v>
      </c>
      <c r="AD33" s="75">
        <v>100</v>
      </c>
      <c r="AE33" s="75"/>
      <c r="AF33" s="75"/>
      <c r="AG33" s="75"/>
      <c r="AH33" s="75"/>
      <c r="AI33" s="75"/>
      <c r="AJ33" s="75"/>
      <c r="AK33" s="75"/>
      <c r="AL33" s="75"/>
      <c r="AM33" s="75"/>
      <c r="AN33" s="75"/>
      <c r="AO33" s="75"/>
      <c r="AP33" s="75"/>
      <c r="AQ33" s="75"/>
      <c r="AR33" s="75"/>
      <c r="AS33" s="75"/>
      <c r="AT33" s="75"/>
      <c r="AU33" s="75"/>
      <c r="AV33" s="75"/>
      <c r="AW33" s="75"/>
      <c r="AX33" s="75"/>
      <c r="AY33" s="75"/>
      <c r="AZ33" s="75"/>
      <c r="BA33" s="75" t="s">
        <v>375</v>
      </c>
      <c r="BB33" s="75"/>
      <c r="BC33" s="75"/>
      <c r="BD33" s="75"/>
    </row>
    <row r="34" spans="1:56" s="41" customFormat="1" ht="47.25" customHeight="1">
      <c r="A34" s="408"/>
      <c r="B34" s="38" t="s">
        <v>102</v>
      </c>
      <c r="C34" s="38"/>
      <c r="D34" s="39">
        <v>0</v>
      </c>
      <c r="E34" s="39">
        <v>400000</v>
      </c>
      <c r="F34" s="39"/>
      <c r="G34" s="39"/>
      <c r="H34" s="39">
        <f aca="true" t="shared" si="19" ref="H34:H297">SUM(D34:G34)</f>
        <v>400000</v>
      </c>
      <c r="I34" s="39"/>
      <c r="J34" s="39">
        <f>728888+101086</f>
        <v>829974</v>
      </c>
      <c r="K34" s="39"/>
      <c r="L34" s="39"/>
      <c r="M34" s="39">
        <f t="shared" si="14"/>
        <v>829974</v>
      </c>
      <c r="N34" s="39">
        <f t="shared" si="15"/>
        <v>0</v>
      </c>
      <c r="O34" s="39">
        <f t="shared" si="16"/>
        <v>863172.96</v>
      </c>
      <c r="P34" s="39">
        <f t="shared" si="17"/>
        <v>0</v>
      </c>
      <c r="Q34" s="39">
        <f t="shared" si="18"/>
        <v>0</v>
      </c>
      <c r="R34" s="39">
        <f t="shared" si="6"/>
        <v>863172.96</v>
      </c>
      <c r="S34" s="39">
        <f t="shared" si="7"/>
        <v>0</v>
      </c>
      <c r="T34" s="39">
        <f t="shared" si="8"/>
        <v>897699.8783999999</v>
      </c>
      <c r="U34" s="39">
        <f t="shared" si="9"/>
        <v>0</v>
      </c>
      <c r="V34" s="39">
        <f t="shared" si="10"/>
        <v>0</v>
      </c>
      <c r="W34" s="39">
        <f t="shared" si="11"/>
        <v>897699.8783999999</v>
      </c>
      <c r="X34" s="75"/>
      <c r="Y34" s="75">
        <v>0</v>
      </c>
      <c r="Z34" s="75">
        <v>1</v>
      </c>
      <c r="AA34" s="75">
        <v>25</v>
      </c>
      <c r="AB34" s="75">
        <v>25</v>
      </c>
      <c r="AC34" s="75">
        <v>25</v>
      </c>
      <c r="AD34" s="75">
        <v>25</v>
      </c>
      <c r="AE34" s="75"/>
      <c r="AF34" s="75"/>
      <c r="AG34" s="75"/>
      <c r="AH34" s="75"/>
      <c r="AI34" s="75"/>
      <c r="AJ34" s="75"/>
      <c r="AK34" s="75"/>
      <c r="AL34" s="75"/>
      <c r="AM34" s="75"/>
      <c r="AN34" s="75"/>
      <c r="AO34" s="75"/>
      <c r="AP34" s="75"/>
      <c r="AQ34" s="75"/>
      <c r="AR34" s="75"/>
      <c r="AS34" s="75"/>
      <c r="AT34" s="75"/>
      <c r="AU34" s="75"/>
      <c r="AV34" s="75"/>
      <c r="AW34" s="75"/>
      <c r="AX34" s="75"/>
      <c r="AY34" s="75"/>
      <c r="AZ34" s="75"/>
      <c r="BA34" s="91"/>
      <c r="BB34" s="75"/>
      <c r="BC34" s="75"/>
      <c r="BD34" s="75"/>
    </row>
    <row r="35" spans="1:56" s="41" customFormat="1" ht="62.25" customHeight="1">
      <c r="A35" s="408"/>
      <c r="B35" s="38" t="s">
        <v>318</v>
      </c>
      <c r="C35" s="38"/>
      <c r="D35" s="39"/>
      <c r="E35" s="39"/>
      <c r="F35" s="39"/>
      <c r="G35" s="39"/>
      <c r="H35" s="39">
        <v>200000</v>
      </c>
      <c r="I35" s="39"/>
      <c r="J35" s="39"/>
      <c r="K35" s="39"/>
      <c r="L35" s="39"/>
      <c r="M35" s="39">
        <v>200000</v>
      </c>
      <c r="N35" s="39"/>
      <c r="O35" s="39"/>
      <c r="P35" s="39"/>
      <c r="Q35" s="39"/>
      <c r="R35" s="39">
        <v>200000</v>
      </c>
      <c r="S35" s="39"/>
      <c r="T35" s="39"/>
      <c r="U35" s="39"/>
      <c r="V35" s="42"/>
      <c r="W35" s="39">
        <v>200000</v>
      </c>
      <c r="X35" s="75"/>
      <c r="Y35" s="75">
        <v>0</v>
      </c>
      <c r="Z35" s="75">
        <v>50</v>
      </c>
      <c r="AA35" s="75">
        <v>15</v>
      </c>
      <c r="AB35" s="75">
        <v>10</v>
      </c>
      <c r="AC35" s="75">
        <v>15</v>
      </c>
      <c r="AD35" s="75">
        <v>10</v>
      </c>
      <c r="AE35" s="75"/>
      <c r="AF35" s="75"/>
      <c r="AG35" s="75"/>
      <c r="AH35" s="75"/>
      <c r="AI35" s="75"/>
      <c r="AJ35" s="75"/>
      <c r="AK35" s="75"/>
      <c r="AL35" s="75"/>
      <c r="AM35" s="75"/>
      <c r="AN35" s="75"/>
      <c r="AO35" s="75"/>
      <c r="AP35" s="75"/>
      <c r="AQ35" s="75"/>
      <c r="AR35" s="75"/>
      <c r="AS35" s="75"/>
      <c r="AT35" s="75"/>
      <c r="AU35" s="75"/>
      <c r="AV35" s="75"/>
      <c r="AW35" s="75"/>
      <c r="AX35" s="75"/>
      <c r="AY35" s="75"/>
      <c r="AZ35" s="75"/>
      <c r="BA35" s="91"/>
      <c r="BB35" s="75"/>
      <c r="BC35" s="75"/>
      <c r="BD35" s="75"/>
    </row>
    <row r="36" spans="1:56" s="41" customFormat="1" ht="36" customHeight="1">
      <c r="A36" s="408"/>
      <c r="B36" s="38" t="s">
        <v>319</v>
      </c>
      <c r="C36" s="38"/>
      <c r="D36" s="39"/>
      <c r="E36" s="39">
        <v>100000</v>
      </c>
      <c r="F36" s="39"/>
      <c r="G36" s="39"/>
      <c r="H36" s="39">
        <v>200000</v>
      </c>
      <c r="I36" s="39"/>
      <c r="J36" s="39"/>
      <c r="K36" s="39"/>
      <c r="L36" s="39"/>
      <c r="M36" s="39">
        <v>200000</v>
      </c>
      <c r="N36" s="39"/>
      <c r="O36" s="39"/>
      <c r="P36" s="39"/>
      <c r="Q36" s="39"/>
      <c r="R36" s="39">
        <v>200000</v>
      </c>
      <c r="S36" s="39"/>
      <c r="T36" s="39"/>
      <c r="U36" s="39"/>
      <c r="V36" s="42"/>
      <c r="W36" s="39">
        <v>200000</v>
      </c>
      <c r="X36" s="75"/>
      <c r="Y36" s="75">
        <v>0</v>
      </c>
      <c r="Z36" s="75">
        <v>4</v>
      </c>
      <c r="AA36" s="75">
        <v>1</v>
      </c>
      <c r="AB36" s="75">
        <v>1</v>
      </c>
      <c r="AC36" s="75">
        <v>1</v>
      </c>
      <c r="AD36" s="75">
        <v>1</v>
      </c>
      <c r="AE36" s="75"/>
      <c r="AF36" s="75"/>
      <c r="AG36" s="75"/>
      <c r="AH36" s="75"/>
      <c r="AI36" s="75"/>
      <c r="AJ36" s="75"/>
      <c r="AK36" s="75"/>
      <c r="AL36" s="75"/>
      <c r="AM36" s="75"/>
      <c r="AN36" s="75"/>
      <c r="AO36" s="75"/>
      <c r="AP36" s="75"/>
      <c r="AQ36" s="75"/>
      <c r="AR36" s="75"/>
      <c r="AS36" s="75"/>
      <c r="AT36" s="75"/>
      <c r="AU36" s="75"/>
      <c r="AV36" s="75"/>
      <c r="AW36" s="75"/>
      <c r="AX36" s="75"/>
      <c r="AY36" s="75"/>
      <c r="AZ36" s="75"/>
      <c r="BA36" s="75" t="s">
        <v>375</v>
      </c>
      <c r="BB36" s="75"/>
      <c r="BC36" s="75"/>
      <c r="BD36" s="75"/>
    </row>
    <row r="37" spans="1:56" s="41" customFormat="1" ht="36" customHeight="1">
      <c r="A37" s="408"/>
      <c r="B37" s="38" t="s">
        <v>320</v>
      </c>
      <c r="C37" s="38"/>
      <c r="D37" s="39"/>
      <c r="E37" s="39">
        <v>100000</v>
      </c>
      <c r="F37" s="39"/>
      <c r="G37" s="39"/>
      <c r="H37" s="39">
        <v>200000</v>
      </c>
      <c r="I37" s="39"/>
      <c r="J37" s="39"/>
      <c r="K37" s="39"/>
      <c r="L37" s="39"/>
      <c r="M37" s="39">
        <v>200000</v>
      </c>
      <c r="N37" s="39"/>
      <c r="O37" s="39"/>
      <c r="P37" s="39"/>
      <c r="Q37" s="39"/>
      <c r="R37" s="39">
        <v>200000</v>
      </c>
      <c r="S37" s="39"/>
      <c r="T37" s="39"/>
      <c r="U37" s="39"/>
      <c r="V37" s="42"/>
      <c r="W37" s="39">
        <v>200000</v>
      </c>
      <c r="X37" s="75"/>
      <c r="Y37" s="75">
        <v>0</v>
      </c>
      <c r="Z37" s="75">
        <v>20</v>
      </c>
      <c r="AA37" s="75">
        <v>5</v>
      </c>
      <c r="AB37" s="75">
        <v>5</v>
      </c>
      <c r="AC37" s="75">
        <v>5</v>
      </c>
      <c r="AD37" s="75">
        <v>5</v>
      </c>
      <c r="AE37" s="75"/>
      <c r="AF37" s="75"/>
      <c r="AG37" s="75"/>
      <c r="AH37" s="75"/>
      <c r="AI37" s="75"/>
      <c r="AJ37" s="75"/>
      <c r="AK37" s="75"/>
      <c r="AL37" s="75"/>
      <c r="AM37" s="75"/>
      <c r="AN37" s="75"/>
      <c r="AO37" s="75"/>
      <c r="AP37" s="75"/>
      <c r="AQ37" s="75"/>
      <c r="AR37" s="75"/>
      <c r="AS37" s="75"/>
      <c r="AT37" s="75"/>
      <c r="AU37" s="75"/>
      <c r="AV37" s="75"/>
      <c r="AW37" s="75"/>
      <c r="AX37" s="75"/>
      <c r="AY37" s="75"/>
      <c r="AZ37" s="75"/>
      <c r="BA37" s="75" t="s">
        <v>375</v>
      </c>
      <c r="BB37" s="75"/>
      <c r="BC37" s="75"/>
      <c r="BD37" s="75"/>
    </row>
    <row r="38" spans="1:56" s="41" customFormat="1" ht="51.75" customHeight="1">
      <c r="A38" s="408"/>
      <c r="B38" s="38" t="s">
        <v>321</v>
      </c>
      <c r="C38" s="38"/>
      <c r="D38" s="39"/>
      <c r="E38" s="39">
        <v>100000</v>
      </c>
      <c r="F38" s="39"/>
      <c r="G38" s="39"/>
      <c r="H38" s="39">
        <v>200000</v>
      </c>
      <c r="I38" s="39"/>
      <c r="J38" s="39"/>
      <c r="K38" s="39"/>
      <c r="L38" s="39"/>
      <c r="M38" s="39">
        <v>200000</v>
      </c>
      <c r="N38" s="39"/>
      <c r="O38" s="39"/>
      <c r="P38" s="39"/>
      <c r="Q38" s="39"/>
      <c r="R38" s="39">
        <v>200000</v>
      </c>
      <c r="S38" s="39"/>
      <c r="T38" s="39"/>
      <c r="U38" s="39"/>
      <c r="V38" s="42"/>
      <c r="W38" s="39">
        <v>200000</v>
      </c>
      <c r="X38" s="75"/>
      <c r="Y38" s="75">
        <v>0</v>
      </c>
      <c r="Z38" s="75">
        <v>100</v>
      </c>
      <c r="AA38" s="75">
        <v>25</v>
      </c>
      <c r="AB38" s="75">
        <v>25</v>
      </c>
      <c r="AC38" s="75">
        <v>25</v>
      </c>
      <c r="AD38" s="75">
        <v>25</v>
      </c>
      <c r="AE38" s="75"/>
      <c r="AF38" s="75"/>
      <c r="AG38" s="75"/>
      <c r="AH38" s="75"/>
      <c r="AI38" s="75"/>
      <c r="AJ38" s="75"/>
      <c r="AK38" s="75"/>
      <c r="AL38" s="75"/>
      <c r="AM38" s="75"/>
      <c r="AN38" s="75"/>
      <c r="AO38" s="75"/>
      <c r="AP38" s="75"/>
      <c r="AQ38" s="75"/>
      <c r="AR38" s="75"/>
      <c r="AS38" s="75"/>
      <c r="AT38" s="75"/>
      <c r="AU38" s="75"/>
      <c r="AV38" s="75"/>
      <c r="AW38" s="75"/>
      <c r="AX38" s="75"/>
      <c r="AY38" s="75"/>
      <c r="AZ38" s="75"/>
      <c r="BA38" s="91"/>
      <c r="BB38" s="75"/>
      <c r="BC38" s="75"/>
      <c r="BD38" s="75"/>
    </row>
    <row r="39" spans="1:56" s="41" customFormat="1" ht="39.75" customHeight="1">
      <c r="A39" s="408"/>
      <c r="B39" s="38" t="s">
        <v>322</v>
      </c>
      <c r="C39" s="38"/>
      <c r="D39" s="39"/>
      <c r="E39" s="39"/>
      <c r="F39" s="39"/>
      <c r="G39" s="39">
        <v>100000</v>
      </c>
      <c r="H39" s="39">
        <v>200000</v>
      </c>
      <c r="I39" s="39"/>
      <c r="J39" s="39"/>
      <c r="K39" s="39"/>
      <c r="L39" s="39"/>
      <c r="M39" s="39">
        <v>200000</v>
      </c>
      <c r="N39" s="39"/>
      <c r="O39" s="39"/>
      <c r="P39" s="39"/>
      <c r="Q39" s="39"/>
      <c r="R39" s="39">
        <v>200000</v>
      </c>
      <c r="S39" s="39"/>
      <c r="T39" s="39"/>
      <c r="U39" s="39"/>
      <c r="V39" s="42"/>
      <c r="W39" s="39">
        <v>200000</v>
      </c>
      <c r="X39" s="75"/>
      <c r="Y39" s="75">
        <v>0</v>
      </c>
      <c r="Z39" s="75">
        <v>20</v>
      </c>
      <c r="AA39" s="75">
        <v>5</v>
      </c>
      <c r="AB39" s="75">
        <v>5</v>
      </c>
      <c r="AC39" s="75">
        <v>5</v>
      </c>
      <c r="AD39" s="75">
        <v>5</v>
      </c>
      <c r="AE39" s="75"/>
      <c r="AF39" s="75"/>
      <c r="AG39" s="75"/>
      <c r="AH39" s="75"/>
      <c r="AI39" s="75"/>
      <c r="AJ39" s="75"/>
      <c r="AK39" s="75"/>
      <c r="AL39" s="75"/>
      <c r="AM39" s="75"/>
      <c r="AN39" s="75"/>
      <c r="AO39" s="75"/>
      <c r="AP39" s="75"/>
      <c r="AQ39" s="75"/>
      <c r="AR39" s="75"/>
      <c r="AS39" s="75"/>
      <c r="AT39" s="75"/>
      <c r="AU39" s="75"/>
      <c r="AV39" s="75"/>
      <c r="AW39" s="75"/>
      <c r="AX39" s="75"/>
      <c r="AY39" s="75"/>
      <c r="AZ39" s="75"/>
      <c r="BA39" s="91"/>
      <c r="BB39" s="75"/>
      <c r="BC39" s="75"/>
      <c r="BD39" s="75"/>
    </row>
    <row r="40" spans="1:56" s="41" customFormat="1" ht="48">
      <c r="A40" s="408"/>
      <c r="B40" s="38" t="s">
        <v>323</v>
      </c>
      <c r="C40" s="38"/>
      <c r="D40" s="39"/>
      <c r="E40" s="39"/>
      <c r="F40" s="39"/>
      <c r="G40" s="39">
        <v>300000</v>
      </c>
      <c r="H40" s="39">
        <v>100000</v>
      </c>
      <c r="I40" s="39"/>
      <c r="J40" s="39"/>
      <c r="K40" s="39"/>
      <c r="L40" s="39"/>
      <c r="M40" s="39">
        <v>200000</v>
      </c>
      <c r="N40" s="39"/>
      <c r="O40" s="39"/>
      <c r="P40" s="39"/>
      <c r="Q40" s="39"/>
      <c r="R40" s="39">
        <v>200000</v>
      </c>
      <c r="S40" s="39"/>
      <c r="T40" s="39"/>
      <c r="U40" s="39"/>
      <c r="V40" s="42"/>
      <c r="W40" s="39">
        <v>200000</v>
      </c>
      <c r="X40" s="75"/>
      <c r="Y40" s="75">
        <v>0</v>
      </c>
      <c r="Z40" s="75">
        <v>100</v>
      </c>
      <c r="AA40" s="75">
        <v>25</v>
      </c>
      <c r="AB40" s="75">
        <v>25</v>
      </c>
      <c r="AC40" s="75">
        <v>25</v>
      </c>
      <c r="AD40" s="75">
        <v>25</v>
      </c>
      <c r="AE40" s="75"/>
      <c r="AF40" s="75"/>
      <c r="AG40" s="75"/>
      <c r="AH40" s="75"/>
      <c r="AI40" s="75"/>
      <c r="AJ40" s="75"/>
      <c r="AK40" s="75"/>
      <c r="AL40" s="75"/>
      <c r="AM40" s="75"/>
      <c r="AN40" s="75"/>
      <c r="AO40" s="75"/>
      <c r="AP40" s="75"/>
      <c r="AQ40" s="75"/>
      <c r="AR40" s="75"/>
      <c r="AS40" s="75"/>
      <c r="AT40" s="75"/>
      <c r="AU40" s="75"/>
      <c r="AV40" s="75"/>
      <c r="AW40" s="75"/>
      <c r="AX40" s="75"/>
      <c r="AY40" s="75"/>
      <c r="AZ40" s="75"/>
      <c r="BA40" s="91"/>
      <c r="BB40" s="75"/>
      <c r="BC40" s="75"/>
      <c r="BD40" s="75"/>
    </row>
    <row r="41" spans="1:56" s="41" customFormat="1" ht="42.75" customHeight="1">
      <c r="A41" s="408"/>
      <c r="B41" s="38" t="s">
        <v>324</v>
      </c>
      <c r="C41" s="38"/>
      <c r="D41" s="39"/>
      <c r="E41" s="39"/>
      <c r="F41" s="39"/>
      <c r="G41" s="39">
        <v>500000</v>
      </c>
      <c r="H41" s="39">
        <v>200000</v>
      </c>
      <c r="I41" s="39"/>
      <c r="J41" s="39"/>
      <c r="K41" s="39"/>
      <c r="L41" s="39"/>
      <c r="M41" s="39">
        <v>200000</v>
      </c>
      <c r="N41" s="39"/>
      <c r="O41" s="39"/>
      <c r="P41" s="39"/>
      <c r="Q41" s="39"/>
      <c r="R41" s="39">
        <v>200000</v>
      </c>
      <c r="S41" s="39"/>
      <c r="T41" s="39"/>
      <c r="U41" s="39"/>
      <c r="V41" s="42"/>
      <c r="W41" s="39">
        <v>200000</v>
      </c>
      <c r="X41" s="75"/>
      <c r="Y41" s="75">
        <v>0</v>
      </c>
      <c r="Z41" s="75">
        <v>349</v>
      </c>
      <c r="AA41" s="75">
        <v>100</v>
      </c>
      <c r="AB41" s="75">
        <v>150</v>
      </c>
      <c r="AC41" s="75">
        <v>50</v>
      </c>
      <c r="AD41" s="75">
        <v>49</v>
      </c>
      <c r="AE41" s="75"/>
      <c r="AF41" s="75"/>
      <c r="AG41" s="75"/>
      <c r="AH41" s="75"/>
      <c r="AI41" s="75"/>
      <c r="AJ41" s="75"/>
      <c r="AK41" s="75"/>
      <c r="AL41" s="75"/>
      <c r="AM41" s="75"/>
      <c r="AN41" s="75"/>
      <c r="AO41" s="75"/>
      <c r="AP41" s="75"/>
      <c r="AQ41" s="75"/>
      <c r="AR41" s="75"/>
      <c r="AS41" s="75"/>
      <c r="AT41" s="75"/>
      <c r="AU41" s="75"/>
      <c r="AV41" s="75"/>
      <c r="AW41" s="75"/>
      <c r="AX41" s="75"/>
      <c r="AY41" s="75"/>
      <c r="AZ41" s="75"/>
      <c r="BA41" s="91"/>
      <c r="BB41" s="75"/>
      <c r="BC41" s="75"/>
      <c r="BD41" s="75"/>
    </row>
    <row r="42" spans="1:56" s="41" customFormat="1" ht="39" customHeight="1">
      <c r="A42" s="408"/>
      <c r="B42" s="38" t="s">
        <v>325</v>
      </c>
      <c r="C42" s="38"/>
      <c r="D42" s="39"/>
      <c r="E42" s="39"/>
      <c r="F42" s="39"/>
      <c r="G42" s="39"/>
      <c r="H42" s="39">
        <v>100000</v>
      </c>
      <c r="I42" s="39"/>
      <c r="J42" s="39"/>
      <c r="K42" s="39"/>
      <c r="L42" s="39"/>
      <c r="M42" s="39">
        <v>200000</v>
      </c>
      <c r="N42" s="39"/>
      <c r="O42" s="39"/>
      <c r="P42" s="39"/>
      <c r="Q42" s="39"/>
      <c r="R42" s="39">
        <v>200000</v>
      </c>
      <c r="S42" s="39"/>
      <c r="T42" s="39"/>
      <c r="U42" s="39"/>
      <c r="V42" s="42"/>
      <c r="W42" s="39">
        <v>200000</v>
      </c>
      <c r="X42" s="75"/>
      <c r="Y42" s="75">
        <v>0</v>
      </c>
      <c r="Z42" s="75">
        <v>100</v>
      </c>
      <c r="AA42" s="75">
        <v>100</v>
      </c>
      <c r="AB42" s="75">
        <v>100</v>
      </c>
      <c r="AC42" s="75">
        <v>100</v>
      </c>
      <c r="AD42" s="75">
        <v>100</v>
      </c>
      <c r="AE42" s="75"/>
      <c r="AF42" s="75"/>
      <c r="AG42" s="75"/>
      <c r="AH42" s="75"/>
      <c r="AI42" s="75"/>
      <c r="AJ42" s="75"/>
      <c r="AK42" s="75"/>
      <c r="AL42" s="75"/>
      <c r="AM42" s="75"/>
      <c r="AN42" s="75"/>
      <c r="AO42" s="75"/>
      <c r="AP42" s="75"/>
      <c r="AQ42" s="75"/>
      <c r="AR42" s="75"/>
      <c r="AS42" s="75"/>
      <c r="AT42" s="75"/>
      <c r="AU42" s="75"/>
      <c r="AV42" s="75"/>
      <c r="AW42" s="75"/>
      <c r="AX42" s="75"/>
      <c r="AY42" s="75"/>
      <c r="AZ42" s="75"/>
      <c r="BA42" s="75" t="s">
        <v>375</v>
      </c>
      <c r="BB42" s="75"/>
      <c r="BC42" s="75"/>
      <c r="BD42" s="75"/>
    </row>
    <row r="43" spans="1:56" s="41" customFormat="1" ht="78.75" customHeight="1">
      <c r="A43" s="408"/>
      <c r="B43" s="43" t="s">
        <v>326</v>
      </c>
      <c r="C43" s="43"/>
      <c r="D43" s="39"/>
      <c r="E43" s="39"/>
      <c r="F43" s="39"/>
      <c r="G43" s="39">
        <v>500000</v>
      </c>
      <c r="H43" s="39">
        <v>200000</v>
      </c>
      <c r="I43" s="39"/>
      <c r="J43" s="39"/>
      <c r="K43" s="39"/>
      <c r="L43" s="39"/>
      <c r="M43" s="39">
        <v>200000</v>
      </c>
      <c r="N43" s="39"/>
      <c r="O43" s="39"/>
      <c r="P43" s="39"/>
      <c r="Q43" s="39"/>
      <c r="R43" s="39">
        <v>200000</v>
      </c>
      <c r="S43" s="39"/>
      <c r="T43" s="39"/>
      <c r="U43" s="39"/>
      <c r="V43" s="42"/>
      <c r="W43" s="39">
        <v>200000</v>
      </c>
      <c r="X43" s="75"/>
      <c r="Y43" s="75">
        <v>0</v>
      </c>
      <c r="Z43" s="75">
        <v>200</v>
      </c>
      <c r="AA43" s="75">
        <v>50</v>
      </c>
      <c r="AB43" s="75">
        <v>50</v>
      </c>
      <c r="AC43" s="75">
        <v>50</v>
      </c>
      <c r="AD43" s="75">
        <v>50</v>
      </c>
      <c r="AE43" s="75"/>
      <c r="AF43" s="75"/>
      <c r="AG43" s="75"/>
      <c r="AH43" s="75"/>
      <c r="AI43" s="75"/>
      <c r="AJ43" s="75"/>
      <c r="AK43" s="75"/>
      <c r="AL43" s="75"/>
      <c r="AM43" s="75"/>
      <c r="AN43" s="75"/>
      <c r="AO43" s="75"/>
      <c r="AP43" s="75"/>
      <c r="AQ43" s="75"/>
      <c r="AR43" s="75"/>
      <c r="AS43" s="75"/>
      <c r="AT43" s="75"/>
      <c r="AU43" s="75"/>
      <c r="AV43" s="75"/>
      <c r="AW43" s="75"/>
      <c r="AX43" s="75"/>
      <c r="AY43" s="75"/>
      <c r="AZ43" s="75"/>
      <c r="BA43" s="91"/>
      <c r="BB43" s="75"/>
      <c r="BC43" s="75"/>
      <c r="BD43" s="75"/>
    </row>
    <row r="44" spans="1:56" ht="15">
      <c r="A44" s="407"/>
      <c r="B44" s="44" t="s">
        <v>342</v>
      </c>
      <c r="C44" s="44"/>
      <c r="D44" s="33">
        <f>SUM(D28:D43)</f>
        <v>1170000</v>
      </c>
      <c r="E44" s="33">
        <f>SUM(E28:E43)</f>
        <v>122880468</v>
      </c>
      <c r="F44" s="33">
        <f aca="true" t="shared" si="20" ref="F44:W44">SUM(F28:F43)</f>
        <v>0</v>
      </c>
      <c r="G44" s="33">
        <f t="shared" si="20"/>
        <v>22357940</v>
      </c>
      <c r="H44" s="33">
        <f>D44+E44+F44+G44</f>
        <v>146408408</v>
      </c>
      <c r="I44" s="33">
        <f t="shared" si="20"/>
        <v>1216800</v>
      </c>
      <c r="J44" s="33">
        <f t="shared" si="20"/>
        <v>128009661</v>
      </c>
      <c r="K44" s="33">
        <f t="shared" si="20"/>
        <v>0</v>
      </c>
      <c r="L44" s="33">
        <f t="shared" si="20"/>
        <v>21796258</v>
      </c>
      <c r="M44" s="33">
        <f t="shared" si="20"/>
        <v>152822719</v>
      </c>
      <c r="N44" s="33">
        <f t="shared" si="20"/>
        <v>1265472</v>
      </c>
      <c r="O44" s="33">
        <f t="shared" si="20"/>
        <v>133130047.43999998</v>
      </c>
      <c r="P44" s="33">
        <f t="shared" si="20"/>
        <v>0</v>
      </c>
      <c r="Q44" s="33">
        <f t="shared" si="20"/>
        <v>22668108.32</v>
      </c>
      <c r="R44" s="33">
        <f t="shared" si="20"/>
        <v>158863627.76000002</v>
      </c>
      <c r="S44" s="33">
        <f t="shared" si="20"/>
        <v>1316090.88</v>
      </c>
      <c r="T44" s="33">
        <f t="shared" si="20"/>
        <v>138455249.33760005</v>
      </c>
      <c r="U44" s="33">
        <f t="shared" si="20"/>
        <v>0</v>
      </c>
      <c r="V44" s="33">
        <f t="shared" si="20"/>
        <v>23574832.6528</v>
      </c>
      <c r="W44" s="33">
        <f t="shared" si="20"/>
        <v>165146172.87040004</v>
      </c>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row>
    <row r="45" spans="1:56" s="41" customFormat="1" ht="60" customHeight="1">
      <c r="A45" s="406" t="s">
        <v>126</v>
      </c>
      <c r="B45" s="38" t="s">
        <v>261</v>
      </c>
      <c r="C45" s="38"/>
      <c r="D45" s="39"/>
      <c r="E45" s="39">
        <v>5000000</v>
      </c>
      <c r="F45" s="39"/>
      <c r="G45" s="39"/>
      <c r="H45" s="39">
        <f t="shared" si="19"/>
        <v>5000000</v>
      </c>
      <c r="I45" s="39"/>
      <c r="J45" s="39"/>
      <c r="K45" s="39"/>
      <c r="L45" s="39"/>
      <c r="M45" s="39">
        <f t="shared" si="14"/>
        <v>0</v>
      </c>
      <c r="N45" s="39">
        <f t="shared" si="15"/>
        <v>0</v>
      </c>
      <c r="O45" s="39">
        <f t="shared" si="16"/>
        <v>0</v>
      </c>
      <c r="P45" s="39">
        <f t="shared" si="17"/>
        <v>0</v>
      </c>
      <c r="Q45" s="39">
        <f t="shared" si="18"/>
        <v>0</v>
      </c>
      <c r="R45" s="39">
        <f t="shared" si="6"/>
        <v>0</v>
      </c>
      <c r="S45" s="39">
        <f t="shared" si="7"/>
        <v>0</v>
      </c>
      <c r="T45" s="39">
        <f t="shared" si="8"/>
        <v>0</v>
      </c>
      <c r="U45" s="39">
        <f t="shared" si="9"/>
        <v>0</v>
      </c>
      <c r="V45" s="39">
        <f t="shared" si="10"/>
        <v>0</v>
      </c>
      <c r="W45" s="39">
        <f t="shared" si="11"/>
        <v>0</v>
      </c>
      <c r="X45" s="75"/>
      <c r="Y45" s="75">
        <v>0</v>
      </c>
      <c r="Z45" s="75">
        <v>100</v>
      </c>
      <c r="AA45" s="75">
        <v>25</v>
      </c>
      <c r="AB45" s="75">
        <v>25</v>
      </c>
      <c r="AC45" s="75">
        <v>25</v>
      </c>
      <c r="AD45" s="75">
        <v>25</v>
      </c>
      <c r="AE45" s="75"/>
      <c r="AF45" s="75"/>
      <c r="AG45" s="75"/>
      <c r="AH45" s="75"/>
      <c r="AI45" s="75"/>
      <c r="AJ45" s="75"/>
      <c r="AK45" s="75"/>
      <c r="AL45" s="75"/>
      <c r="AM45" s="75"/>
      <c r="AN45" s="75"/>
      <c r="AO45" s="75"/>
      <c r="AP45" s="75"/>
      <c r="AQ45" s="75"/>
      <c r="AR45" s="75"/>
      <c r="AS45" s="75"/>
      <c r="AT45" s="75"/>
      <c r="AU45" s="75"/>
      <c r="AV45" s="75"/>
      <c r="AW45" s="75"/>
      <c r="AX45" s="75"/>
      <c r="AY45" s="75"/>
      <c r="AZ45" s="75"/>
      <c r="BA45" s="91"/>
      <c r="BB45" s="75"/>
      <c r="BC45" s="75"/>
      <c r="BD45" s="75"/>
    </row>
    <row r="46" spans="1:56" s="41" customFormat="1" ht="36">
      <c r="A46" s="408"/>
      <c r="B46" s="38" t="s">
        <v>103</v>
      </c>
      <c r="C46" s="38"/>
      <c r="D46" s="39"/>
      <c r="E46" s="39">
        <v>200000</v>
      </c>
      <c r="F46" s="39"/>
      <c r="G46" s="39">
        <v>20000</v>
      </c>
      <c r="H46" s="39">
        <f t="shared" si="0"/>
        <v>220000</v>
      </c>
      <c r="I46" s="39"/>
      <c r="J46" s="39">
        <v>208000</v>
      </c>
      <c r="K46" s="39"/>
      <c r="L46" s="39"/>
      <c r="M46" s="39">
        <f t="shared" si="14"/>
        <v>208000</v>
      </c>
      <c r="N46" s="39">
        <f t="shared" si="15"/>
        <v>0</v>
      </c>
      <c r="O46" s="39">
        <f t="shared" si="16"/>
        <v>216320</v>
      </c>
      <c r="P46" s="39">
        <f t="shared" si="17"/>
        <v>0</v>
      </c>
      <c r="Q46" s="39">
        <f t="shared" si="18"/>
        <v>0</v>
      </c>
      <c r="R46" s="39">
        <f t="shared" si="6"/>
        <v>216320</v>
      </c>
      <c r="S46" s="39">
        <f t="shared" si="7"/>
        <v>0</v>
      </c>
      <c r="T46" s="39">
        <f t="shared" si="8"/>
        <v>224972.8</v>
      </c>
      <c r="U46" s="39">
        <f t="shared" si="9"/>
        <v>0</v>
      </c>
      <c r="V46" s="39">
        <f t="shared" si="10"/>
        <v>0</v>
      </c>
      <c r="W46" s="39">
        <f t="shared" si="11"/>
        <v>224972.8</v>
      </c>
      <c r="X46" s="75"/>
      <c r="Y46" s="75">
        <v>100</v>
      </c>
      <c r="Z46" s="75">
        <v>100</v>
      </c>
      <c r="AA46" s="75">
        <v>100</v>
      </c>
      <c r="AB46" s="75">
        <v>100</v>
      </c>
      <c r="AC46" s="75">
        <v>100</v>
      </c>
      <c r="AD46" s="75">
        <v>100</v>
      </c>
      <c r="AE46" s="75"/>
      <c r="AF46" s="75"/>
      <c r="AG46" s="75"/>
      <c r="AH46" s="75"/>
      <c r="AI46" s="75"/>
      <c r="AJ46" s="75"/>
      <c r="AK46" s="75"/>
      <c r="AL46" s="75"/>
      <c r="AM46" s="75"/>
      <c r="AN46" s="75"/>
      <c r="AO46" s="75"/>
      <c r="AP46" s="75"/>
      <c r="AQ46" s="75"/>
      <c r="AR46" s="75"/>
      <c r="AS46" s="75"/>
      <c r="AT46" s="75"/>
      <c r="AU46" s="75"/>
      <c r="AV46" s="75"/>
      <c r="AW46" s="75"/>
      <c r="AX46" s="75"/>
      <c r="AY46" s="75"/>
      <c r="AZ46" s="75"/>
      <c r="BA46" s="75" t="s">
        <v>375</v>
      </c>
      <c r="BB46" s="75"/>
      <c r="BC46" s="75"/>
      <c r="BD46" s="75"/>
    </row>
    <row r="47" spans="1:56" s="41" customFormat="1" ht="53.25" customHeight="1">
      <c r="A47" s="408"/>
      <c r="B47" s="38" t="s">
        <v>327</v>
      </c>
      <c r="C47" s="38"/>
      <c r="D47" s="39"/>
      <c r="E47" s="39">
        <v>1091329</v>
      </c>
      <c r="F47" s="39"/>
      <c r="G47" s="39"/>
      <c r="H47" s="39">
        <f t="shared" si="19"/>
        <v>1091329</v>
      </c>
      <c r="I47" s="39"/>
      <c r="J47" s="39"/>
      <c r="K47" s="39"/>
      <c r="L47" s="39"/>
      <c r="M47" s="39">
        <f t="shared" si="14"/>
        <v>0</v>
      </c>
      <c r="N47" s="39">
        <f t="shared" si="15"/>
        <v>0</v>
      </c>
      <c r="O47" s="39">
        <f t="shared" si="16"/>
        <v>0</v>
      </c>
      <c r="P47" s="39">
        <f t="shared" si="17"/>
        <v>0</v>
      </c>
      <c r="Q47" s="39">
        <f t="shared" si="18"/>
        <v>0</v>
      </c>
      <c r="R47" s="39">
        <f t="shared" si="6"/>
        <v>0</v>
      </c>
      <c r="S47" s="39">
        <f t="shared" si="7"/>
        <v>0</v>
      </c>
      <c r="T47" s="39">
        <f t="shared" si="8"/>
        <v>0</v>
      </c>
      <c r="U47" s="39">
        <f t="shared" si="9"/>
        <v>0</v>
      </c>
      <c r="V47" s="39">
        <f t="shared" si="10"/>
        <v>0</v>
      </c>
      <c r="W47" s="39">
        <f t="shared" si="11"/>
        <v>0</v>
      </c>
      <c r="X47" s="75"/>
      <c r="Y47" s="75">
        <v>0</v>
      </c>
      <c r="Z47" s="75">
        <v>4</v>
      </c>
      <c r="AA47" s="75">
        <v>4</v>
      </c>
      <c r="AB47" s="75">
        <v>4</v>
      </c>
      <c r="AC47" s="75">
        <v>4</v>
      </c>
      <c r="AD47" s="75">
        <v>4</v>
      </c>
      <c r="AE47" s="75"/>
      <c r="AF47" s="75"/>
      <c r="AG47" s="75"/>
      <c r="AH47" s="75"/>
      <c r="AI47" s="75"/>
      <c r="AJ47" s="75"/>
      <c r="AK47" s="75"/>
      <c r="AL47" s="75"/>
      <c r="AM47" s="75"/>
      <c r="AN47" s="75"/>
      <c r="AO47" s="75"/>
      <c r="AP47" s="75"/>
      <c r="AQ47" s="75"/>
      <c r="AR47" s="75"/>
      <c r="AS47" s="75"/>
      <c r="AT47" s="75"/>
      <c r="AU47" s="75"/>
      <c r="AV47" s="75"/>
      <c r="AW47" s="75"/>
      <c r="AX47" s="75"/>
      <c r="AY47" s="75"/>
      <c r="AZ47" s="75"/>
      <c r="BA47" s="91"/>
      <c r="BB47" s="75"/>
      <c r="BC47" s="75"/>
      <c r="BD47" s="75"/>
    </row>
    <row r="48" spans="1:56" s="41" customFormat="1" ht="74.25" customHeight="1">
      <c r="A48" s="408"/>
      <c r="B48" s="43" t="s">
        <v>104</v>
      </c>
      <c r="C48" s="43"/>
      <c r="D48" s="39"/>
      <c r="E48" s="39">
        <v>2396600</v>
      </c>
      <c r="F48" s="39"/>
      <c r="G48" s="39"/>
      <c r="H48" s="39">
        <f t="shared" si="19"/>
        <v>2396600</v>
      </c>
      <c r="I48" s="39"/>
      <c r="J48" s="39">
        <v>3000000</v>
      </c>
      <c r="K48" s="39"/>
      <c r="L48" s="39"/>
      <c r="M48" s="39">
        <f t="shared" si="14"/>
        <v>3000000</v>
      </c>
      <c r="N48" s="39">
        <f t="shared" si="15"/>
        <v>0</v>
      </c>
      <c r="O48" s="39">
        <f t="shared" si="16"/>
        <v>3120000</v>
      </c>
      <c r="P48" s="39">
        <f t="shared" si="17"/>
        <v>0</v>
      </c>
      <c r="Q48" s="39">
        <f t="shared" si="18"/>
        <v>0</v>
      </c>
      <c r="R48" s="39">
        <f t="shared" si="6"/>
        <v>3120000</v>
      </c>
      <c r="S48" s="39">
        <f t="shared" si="7"/>
        <v>0</v>
      </c>
      <c r="T48" s="39">
        <f t="shared" si="8"/>
        <v>3244800</v>
      </c>
      <c r="U48" s="39">
        <f t="shared" si="9"/>
        <v>0</v>
      </c>
      <c r="V48" s="39">
        <f t="shared" si="10"/>
        <v>0</v>
      </c>
      <c r="W48" s="39">
        <f t="shared" si="11"/>
        <v>3244800</v>
      </c>
      <c r="X48" s="75"/>
      <c r="Y48" s="75">
        <v>0</v>
      </c>
      <c r="Z48" s="75">
        <v>8</v>
      </c>
      <c r="AA48" s="75">
        <v>2</v>
      </c>
      <c r="AB48" s="75">
        <v>2</v>
      </c>
      <c r="AC48" s="75">
        <v>2</v>
      </c>
      <c r="AD48" s="75">
        <v>2</v>
      </c>
      <c r="AE48" s="75"/>
      <c r="AF48" s="75"/>
      <c r="AG48" s="75"/>
      <c r="AH48" s="75"/>
      <c r="AI48" s="75"/>
      <c r="AJ48" s="75"/>
      <c r="AK48" s="75"/>
      <c r="AL48" s="75"/>
      <c r="AM48" s="75"/>
      <c r="AN48" s="75"/>
      <c r="AO48" s="75"/>
      <c r="AP48" s="75"/>
      <c r="AQ48" s="75"/>
      <c r="AR48" s="75"/>
      <c r="AS48" s="75"/>
      <c r="AT48" s="75"/>
      <c r="AU48" s="75"/>
      <c r="AV48" s="75"/>
      <c r="AW48" s="75"/>
      <c r="AX48" s="75"/>
      <c r="AY48" s="75"/>
      <c r="AZ48" s="75"/>
      <c r="BA48" s="91"/>
      <c r="BB48" s="75"/>
      <c r="BC48" s="75"/>
      <c r="BD48" s="75"/>
    </row>
    <row r="49" spans="1:56" s="41" customFormat="1" ht="44.25" customHeight="1">
      <c r="A49" s="408"/>
      <c r="B49" s="89" t="s">
        <v>105</v>
      </c>
      <c r="C49" s="89"/>
      <c r="D49" s="90"/>
      <c r="E49" s="90">
        <v>1500000</v>
      </c>
      <c r="F49" s="90"/>
      <c r="G49" s="90"/>
      <c r="H49" s="90">
        <f>SUM(D49:G49)</f>
        <v>1500000</v>
      </c>
      <c r="I49" s="90"/>
      <c r="J49" s="90">
        <v>1000000</v>
      </c>
      <c r="K49" s="90"/>
      <c r="L49" s="90"/>
      <c r="M49" s="90">
        <f t="shared" si="14"/>
        <v>1000000</v>
      </c>
      <c r="N49" s="90">
        <f t="shared" si="15"/>
        <v>0</v>
      </c>
      <c r="O49" s="90">
        <f t="shared" si="16"/>
        <v>1040000</v>
      </c>
      <c r="P49" s="90">
        <f t="shared" si="17"/>
        <v>0</v>
      </c>
      <c r="Q49" s="90">
        <f t="shared" si="18"/>
        <v>0</v>
      </c>
      <c r="R49" s="90">
        <f t="shared" si="6"/>
        <v>1040000</v>
      </c>
      <c r="S49" s="90">
        <f t="shared" si="7"/>
        <v>0</v>
      </c>
      <c r="T49" s="90">
        <f t="shared" si="8"/>
        <v>1081600</v>
      </c>
      <c r="U49" s="90">
        <f t="shared" si="9"/>
        <v>0</v>
      </c>
      <c r="V49" s="90">
        <f t="shared" si="10"/>
        <v>0</v>
      </c>
      <c r="W49" s="90">
        <f t="shared" si="11"/>
        <v>1081600</v>
      </c>
      <c r="X49" s="91"/>
      <c r="Y49" s="91">
        <v>135</v>
      </c>
      <c r="Z49" s="91">
        <v>150</v>
      </c>
      <c r="AA49" s="91">
        <v>135</v>
      </c>
      <c r="AB49" s="91">
        <v>140</v>
      </c>
      <c r="AC49" s="91">
        <v>145</v>
      </c>
      <c r="AD49" s="91">
        <v>150</v>
      </c>
      <c r="AE49" s="75"/>
      <c r="AF49" s="75"/>
      <c r="AG49" s="75"/>
      <c r="AH49" s="75"/>
      <c r="AI49" s="75"/>
      <c r="AJ49" s="75"/>
      <c r="AK49" s="75"/>
      <c r="AL49" s="75"/>
      <c r="AM49" s="75"/>
      <c r="AN49" s="75"/>
      <c r="AO49" s="75"/>
      <c r="AP49" s="75"/>
      <c r="AQ49" s="75"/>
      <c r="AR49" s="75"/>
      <c r="AS49" s="75"/>
      <c r="AT49" s="75"/>
      <c r="AU49" s="75"/>
      <c r="AV49" s="75"/>
      <c r="AW49" s="75"/>
      <c r="AX49" s="75"/>
      <c r="AY49" s="75"/>
      <c r="AZ49" s="75"/>
      <c r="BA49" s="75" t="s">
        <v>375</v>
      </c>
      <c r="BB49" s="75"/>
      <c r="BC49" s="75"/>
      <c r="BD49" s="75"/>
    </row>
    <row r="50" spans="1:56" s="41" customFormat="1" ht="64.5" customHeight="1">
      <c r="A50" s="408"/>
      <c r="B50" s="43" t="s">
        <v>106</v>
      </c>
      <c r="C50" s="43"/>
      <c r="D50" s="39"/>
      <c r="E50" s="39">
        <v>500000</v>
      </c>
      <c r="F50" s="39"/>
      <c r="G50" s="39"/>
      <c r="H50" s="39">
        <f t="shared" si="19"/>
        <v>500000</v>
      </c>
      <c r="I50" s="39"/>
      <c r="J50" s="39">
        <v>1700000</v>
      </c>
      <c r="K50" s="39"/>
      <c r="L50" s="39"/>
      <c r="M50" s="39">
        <f t="shared" si="14"/>
        <v>1700000</v>
      </c>
      <c r="N50" s="39">
        <f t="shared" si="15"/>
        <v>0</v>
      </c>
      <c r="O50" s="39">
        <f t="shared" si="16"/>
        <v>1768000</v>
      </c>
      <c r="P50" s="39">
        <f t="shared" si="17"/>
        <v>0</v>
      </c>
      <c r="Q50" s="39">
        <f t="shared" si="18"/>
        <v>0</v>
      </c>
      <c r="R50" s="39">
        <f t="shared" si="6"/>
        <v>1768000</v>
      </c>
      <c r="S50" s="39">
        <f t="shared" si="7"/>
        <v>0</v>
      </c>
      <c r="T50" s="39">
        <f t="shared" si="8"/>
        <v>1838720</v>
      </c>
      <c r="U50" s="39">
        <f t="shared" si="9"/>
        <v>0</v>
      </c>
      <c r="V50" s="39">
        <f t="shared" si="10"/>
        <v>0</v>
      </c>
      <c r="W50" s="39">
        <f t="shared" si="11"/>
        <v>1838720</v>
      </c>
      <c r="X50" s="75"/>
      <c r="Y50" s="75">
        <v>2</v>
      </c>
      <c r="Z50" s="75">
        <v>6</v>
      </c>
      <c r="AA50" s="75">
        <v>1</v>
      </c>
      <c r="AB50" s="75">
        <v>1</v>
      </c>
      <c r="AC50" s="75">
        <v>1</v>
      </c>
      <c r="AD50" s="75">
        <v>1</v>
      </c>
      <c r="AE50" s="75"/>
      <c r="AF50" s="75"/>
      <c r="AG50" s="75"/>
      <c r="AH50" s="75"/>
      <c r="AI50" s="75"/>
      <c r="AJ50" s="75"/>
      <c r="AK50" s="75"/>
      <c r="AL50" s="75"/>
      <c r="AM50" s="75"/>
      <c r="AN50" s="75"/>
      <c r="AO50" s="75"/>
      <c r="AP50" s="75"/>
      <c r="AQ50" s="75"/>
      <c r="AR50" s="75"/>
      <c r="AS50" s="75"/>
      <c r="AT50" s="75"/>
      <c r="AU50" s="75"/>
      <c r="AV50" s="75"/>
      <c r="AW50" s="75"/>
      <c r="AX50" s="75"/>
      <c r="AY50" s="75"/>
      <c r="AZ50" s="75"/>
      <c r="BA50" s="91"/>
      <c r="BB50" s="75"/>
      <c r="BC50" s="75"/>
      <c r="BD50" s="75"/>
    </row>
    <row r="51" spans="1:56" s="41" customFormat="1" ht="32.25" customHeight="1">
      <c r="A51" s="408"/>
      <c r="B51" s="38" t="s">
        <v>107</v>
      </c>
      <c r="C51" s="38"/>
      <c r="D51" s="39"/>
      <c r="E51" s="39">
        <v>1000000</v>
      </c>
      <c r="F51" s="39"/>
      <c r="G51" s="39"/>
      <c r="H51" s="39">
        <f t="shared" si="19"/>
        <v>1000000</v>
      </c>
      <c r="I51" s="39"/>
      <c r="J51" s="39">
        <v>1500000</v>
      </c>
      <c r="K51" s="39"/>
      <c r="L51" s="39"/>
      <c r="M51" s="39">
        <f t="shared" si="14"/>
        <v>1500000</v>
      </c>
      <c r="N51" s="39">
        <f t="shared" si="15"/>
        <v>0</v>
      </c>
      <c r="O51" s="39">
        <f t="shared" si="16"/>
        <v>1560000</v>
      </c>
      <c r="P51" s="39">
        <f t="shared" si="17"/>
        <v>0</v>
      </c>
      <c r="Q51" s="39">
        <f t="shared" si="18"/>
        <v>0</v>
      </c>
      <c r="R51" s="39">
        <f t="shared" si="6"/>
        <v>1560000</v>
      </c>
      <c r="S51" s="39">
        <f t="shared" si="7"/>
        <v>0</v>
      </c>
      <c r="T51" s="39">
        <f t="shared" si="8"/>
        <v>1622400</v>
      </c>
      <c r="U51" s="39">
        <f t="shared" si="9"/>
        <v>0</v>
      </c>
      <c r="V51" s="39">
        <f t="shared" si="10"/>
        <v>0</v>
      </c>
      <c r="W51" s="39">
        <f t="shared" si="11"/>
        <v>1622400</v>
      </c>
      <c r="X51" s="75"/>
      <c r="Y51" s="75">
        <v>0</v>
      </c>
      <c r="Z51" s="75">
        <v>100</v>
      </c>
      <c r="AA51" s="75">
        <v>0</v>
      </c>
      <c r="AB51" s="75">
        <v>25</v>
      </c>
      <c r="AC51" s="75">
        <v>25</v>
      </c>
      <c r="AD51" s="75">
        <v>50</v>
      </c>
      <c r="AE51" s="75"/>
      <c r="AF51" s="75"/>
      <c r="AG51" s="75"/>
      <c r="AH51" s="75"/>
      <c r="AI51" s="75"/>
      <c r="AJ51" s="75"/>
      <c r="AK51" s="75"/>
      <c r="AL51" s="75"/>
      <c r="AM51" s="75"/>
      <c r="AN51" s="75"/>
      <c r="AO51" s="75"/>
      <c r="AP51" s="75"/>
      <c r="AQ51" s="75"/>
      <c r="AR51" s="75"/>
      <c r="AS51" s="75"/>
      <c r="AT51" s="75"/>
      <c r="AU51" s="75"/>
      <c r="AV51" s="75"/>
      <c r="AW51" s="75"/>
      <c r="AX51" s="75"/>
      <c r="AY51" s="75"/>
      <c r="AZ51" s="75"/>
      <c r="BA51" s="91"/>
      <c r="BB51" s="75"/>
      <c r="BC51" s="75"/>
      <c r="BD51" s="75"/>
    </row>
    <row r="52" spans="1:56" s="41" customFormat="1" ht="42" customHeight="1">
      <c r="A52" s="408"/>
      <c r="B52" s="38" t="s">
        <v>108</v>
      </c>
      <c r="C52" s="38"/>
      <c r="D52" s="39">
        <v>266490</v>
      </c>
      <c r="E52" s="39"/>
      <c r="F52" s="39"/>
      <c r="G52" s="39"/>
      <c r="H52" s="39">
        <f t="shared" si="19"/>
        <v>266490</v>
      </c>
      <c r="I52" s="39"/>
      <c r="J52" s="39">
        <v>1000000</v>
      </c>
      <c r="K52" s="39"/>
      <c r="L52" s="39"/>
      <c r="M52" s="39">
        <f t="shared" si="14"/>
        <v>1000000</v>
      </c>
      <c r="N52" s="39">
        <f t="shared" si="15"/>
        <v>0</v>
      </c>
      <c r="O52" s="39">
        <f t="shared" si="16"/>
        <v>1040000</v>
      </c>
      <c r="P52" s="39">
        <f t="shared" si="17"/>
        <v>0</v>
      </c>
      <c r="Q52" s="39">
        <f t="shared" si="18"/>
        <v>0</v>
      </c>
      <c r="R52" s="39">
        <f t="shared" si="6"/>
        <v>1040000</v>
      </c>
      <c r="S52" s="39">
        <f t="shared" si="7"/>
        <v>0</v>
      </c>
      <c r="T52" s="39">
        <f t="shared" si="8"/>
        <v>1081600</v>
      </c>
      <c r="U52" s="39">
        <f t="shared" si="9"/>
        <v>0</v>
      </c>
      <c r="V52" s="39">
        <f t="shared" si="10"/>
        <v>0</v>
      </c>
      <c r="W52" s="39">
        <f t="shared" si="11"/>
        <v>1081600</v>
      </c>
      <c r="X52" s="75"/>
      <c r="Y52" s="75">
        <v>1</v>
      </c>
      <c r="Z52" s="75">
        <v>5</v>
      </c>
      <c r="AA52" s="75">
        <v>1</v>
      </c>
      <c r="AB52" s="75">
        <v>1</v>
      </c>
      <c r="AC52" s="75">
        <v>1</v>
      </c>
      <c r="AD52" s="75">
        <v>1</v>
      </c>
      <c r="AE52" s="75"/>
      <c r="AF52" s="75"/>
      <c r="AG52" s="75"/>
      <c r="AH52" s="75"/>
      <c r="AI52" s="75"/>
      <c r="AJ52" s="75"/>
      <c r="AK52" s="75"/>
      <c r="AL52" s="75"/>
      <c r="AM52" s="75"/>
      <c r="AN52" s="75"/>
      <c r="AO52" s="75"/>
      <c r="AP52" s="75"/>
      <c r="AQ52" s="75"/>
      <c r="AR52" s="75"/>
      <c r="AS52" s="75"/>
      <c r="AT52" s="75"/>
      <c r="AU52" s="75"/>
      <c r="AV52" s="75"/>
      <c r="AW52" s="75"/>
      <c r="AX52" s="75"/>
      <c r="AY52" s="75"/>
      <c r="AZ52" s="75"/>
      <c r="BA52" s="75" t="s">
        <v>375</v>
      </c>
      <c r="BB52" s="75"/>
      <c r="BC52" s="75"/>
      <c r="BD52" s="75"/>
    </row>
    <row r="53" spans="1:56" s="41" customFormat="1" ht="52.5" customHeight="1">
      <c r="A53" s="408"/>
      <c r="B53" s="38" t="s">
        <v>262</v>
      </c>
      <c r="C53" s="38"/>
      <c r="D53" s="39"/>
      <c r="E53" s="39"/>
      <c r="F53" s="39"/>
      <c r="G53" s="39"/>
      <c r="H53" s="39">
        <f t="shared" si="19"/>
        <v>0</v>
      </c>
      <c r="I53" s="39"/>
      <c r="J53" s="39">
        <v>700000</v>
      </c>
      <c r="K53" s="39"/>
      <c r="L53" s="39"/>
      <c r="M53" s="39">
        <f t="shared" si="14"/>
        <v>700000</v>
      </c>
      <c r="N53" s="39">
        <f t="shared" si="15"/>
        <v>0</v>
      </c>
      <c r="O53" s="39">
        <f t="shared" si="16"/>
        <v>728000</v>
      </c>
      <c r="P53" s="39">
        <f t="shared" si="17"/>
        <v>0</v>
      </c>
      <c r="Q53" s="39">
        <f t="shared" si="18"/>
        <v>0</v>
      </c>
      <c r="R53" s="39">
        <f t="shared" si="6"/>
        <v>728000</v>
      </c>
      <c r="S53" s="39">
        <f t="shared" si="7"/>
        <v>0</v>
      </c>
      <c r="T53" s="39">
        <f t="shared" si="8"/>
        <v>757120</v>
      </c>
      <c r="U53" s="39">
        <f t="shared" si="9"/>
        <v>0</v>
      </c>
      <c r="V53" s="39">
        <f t="shared" si="10"/>
        <v>0</v>
      </c>
      <c r="W53" s="39">
        <f t="shared" si="11"/>
        <v>757120</v>
      </c>
      <c r="X53" s="75"/>
      <c r="Y53" s="75">
        <v>65</v>
      </c>
      <c r="Z53" s="75">
        <v>130</v>
      </c>
      <c r="AA53" s="75">
        <v>15</v>
      </c>
      <c r="AB53" s="75">
        <v>15</v>
      </c>
      <c r="AC53" s="75">
        <v>20</v>
      </c>
      <c r="AD53" s="75">
        <v>15</v>
      </c>
      <c r="AE53" s="75"/>
      <c r="AF53" s="75"/>
      <c r="AG53" s="75"/>
      <c r="AH53" s="75"/>
      <c r="AI53" s="75"/>
      <c r="AJ53" s="75"/>
      <c r="AK53" s="75"/>
      <c r="AL53" s="75"/>
      <c r="AM53" s="75"/>
      <c r="AN53" s="75"/>
      <c r="AO53" s="75"/>
      <c r="AP53" s="75"/>
      <c r="AQ53" s="75"/>
      <c r="AR53" s="75"/>
      <c r="AS53" s="75"/>
      <c r="AT53" s="75"/>
      <c r="AU53" s="75"/>
      <c r="AV53" s="75"/>
      <c r="AW53" s="75"/>
      <c r="AX53" s="75"/>
      <c r="AY53" s="75"/>
      <c r="AZ53" s="75"/>
      <c r="BA53" s="91"/>
      <c r="BB53" s="75"/>
      <c r="BC53" s="75"/>
      <c r="BD53" s="75"/>
    </row>
    <row r="54" spans="1:56" s="41" customFormat="1" ht="60">
      <c r="A54" s="408"/>
      <c r="B54" s="38" t="s">
        <v>263</v>
      </c>
      <c r="C54" s="38"/>
      <c r="D54" s="39"/>
      <c r="E54" s="39"/>
      <c r="F54" s="39"/>
      <c r="G54" s="39"/>
      <c r="H54" s="39"/>
      <c r="I54" s="39"/>
      <c r="J54" s="39"/>
      <c r="K54" s="39"/>
      <c r="L54" s="39"/>
      <c r="M54" s="39"/>
      <c r="N54" s="39"/>
      <c r="O54" s="39"/>
      <c r="P54" s="39"/>
      <c r="Q54" s="39"/>
      <c r="R54" s="39"/>
      <c r="S54" s="39"/>
      <c r="T54" s="39"/>
      <c r="U54" s="39"/>
      <c r="V54" s="42"/>
      <c r="W54" s="42"/>
      <c r="X54" s="75"/>
      <c r="Y54" s="86">
        <v>0</v>
      </c>
      <c r="Z54" s="86">
        <v>0.1</v>
      </c>
      <c r="AA54" s="86">
        <v>0.02</v>
      </c>
      <c r="AB54" s="86">
        <v>0.03</v>
      </c>
      <c r="AC54" s="86">
        <v>0.03</v>
      </c>
      <c r="AD54" s="86">
        <v>0.02</v>
      </c>
      <c r="AE54" s="75"/>
      <c r="AF54" s="75"/>
      <c r="AG54" s="75"/>
      <c r="AH54" s="75"/>
      <c r="AI54" s="75"/>
      <c r="AJ54" s="75"/>
      <c r="AK54" s="75"/>
      <c r="AL54" s="75"/>
      <c r="AM54" s="75"/>
      <c r="AN54" s="75"/>
      <c r="AO54" s="75"/>
      <c r="AP54" s="75"/>
      <c r="AQ54" s="75"/>
      <c r="AR54" s="75"/>
      <c r="AS54" s="75"/>
      <c r="AT54" s="75"/>
      <c r="AU54" s="75"/>
      <c r="AV54" s="75"/>
      <c r="AW54" s="75"/>
      <c r="AX54" s="75"/>
      <c r="AY54" s="75"/>
      <c r="AZ54" s="75"/>
      <c r="BA54" s="75" t="s">
        <v>375</v>
      </c>
      <c r="BB54" s="75"/>
      <c r="BC54" s="75"/>
      <c r="BD54" s="75"/>
    </row>
    <row r="55" spans="1:56" s="41" customFormat="1" ht="31.5" customHeight="1">
      <c r="A55" s="408"/>
      <c r="B55" s="38" t="s">
        <v>264</v>
      </c>
      <c r="C55" s="38"/>
      <c r="D55" s="39"/>
      <c r="E55" s="39"/>
      <c r="F55" s="39"/>
      <c r="G55" s="39"/>
      <c r="H55" s="39"/>
      <c r="I55" s="39"/>
      <c r="J55" s="39"/>
      <c r="K55" s="39"/>
      <c r="L55" s="39"/>
      <c r="M55" s="39"/>
      <c r="N55" s="39"/>
      <c r="O55" s="39"/>
      <c r="P55" s="39"/>
      <c r="Q55" s="39"/>
      <c r="R55" s="39"/>
      <c r="S55" s="39"/>
      <c r="T55" s="39"/>
      <c r="U55" s="39"/>
      <c r="V55" s="42"/>
      <c r="W55" s="42"/>
      <c r="X55" s="75"/>
      <c r="Y55" s="75">
        <v>0</v>
      </c>
      <c r="Z55" s="75">
        <v>100</v>
      </c>
      <c r="AA55" s="75">
        <v>100</v>
      </c>
      <c r="AB55" s="75">
        <v>100</v>
      </c>
      <c r="AC55" s="75">
        <v>100</v>
      </c>
      <c r="AD55" s="75">
        <v>100</v>
      </c>
      <c r="AE55" s="75"/>
      <c r="AF55" s="75"/>
      <c r="AG55" s="75"/>
      <c r="AH55" s="75"/>
      <c r="AI55" s="75"/>
      <c r="AJ55" s="75"/>
      <c r="AK55" s="75"/>
      <c r="AL55" s="75"/>
      <c r="AM55" s="75"/>
      <c r="AN55" s="75"/>
      <c r="AO55" s="75"/>
      <c r="AP55" s="75"/>
      <c r="AQ55" s="75"/>
      <c r="AR55" s="75"/>
      <c r="AS55" s="75"/>
      <c r="AT55" s="75"/>
      <c r="AU55" s="75"/>
      <c r="AV55" s="75"/>
      <c r="AW55" s="75"/>
      <c r="AX55" s="75"/>
      <c r="AY55" s="75"/>
      <c r="AZ55" s="75"/>
      <c r="BA55" s="75" t="s">
        <v>375</v>
      </c>
      <c r="BB55" s="75"/>
      <c r="BC55" s="75"/>
      <c r="BD55" s="75"/>
    </row>
    <row r="56" spans="1:56" s="41" customFormat="1" ht="29.25" customHeight="1">
      <c r="A56" s="408"/>
      <c r="B56" s="38" t="s">
        <v>109</v>
      </c>
      <c r="C56" s="38"/>
      <c r="D56" s="39"/>
      <c r="E56" s="39">
        <v>1000000</v>
      </c>
      <c r="F56" s="39"/>
      <c r="G56" s="39"/>
      <c r="H56" s="39">
        <f t="shared" si="19"/>
        <v>1000000</v>
      </c>
      <c r="I56" s="39"/>
      <c r="J56" s="39">
        <v>1500000</v>
      </c>
      <c r="K56" s="39"/>
      <c r="L56" s="39"/>
      <c r="M56" s="39">
        <f t="shared" si="14"/>
        <v>1500000</v>
      </c>
      <c r="N56" s="39">
        <f t="shared" si="15"/>
        <v>0</v>
      </c>
      <c r="O56" s="39">
        <f t="shared" si="16"/>
        <v>1560000</v>
      </c>
      <c r="P56" s="39">
        <f t="shared" si="17"/>
        <v>0</v>
      </c>
      <c r="Q56" s="39">
        <f t="shared" si="18"/>
        <v>0</v>
      </c>
      <c r="R56" s="39">
        <f t="shared" si="6"/>
        <v>1560000</v>
      </c>
      <c r="S56" s="39">
        <f t="shared" si="7"/>
        <v>0</v>
      </c>
      <c r="T56" s="39">
        <f t="shared" si="8"/>
        <v>1622400</v>
      </c>
      <c r="U56" s="39">
        <f t="shared" si="9"/>
        <v>0</v>
      </c>
      <c r="V56" s="39">
        <f t="shared" si="10"/>
        <v>0</v>
      </c>
      <c r="W56" s="39">
        <f t="shared" si="11"/>
        <v>1622400</v>
      </c>
      <c r="X56" s="75"/>
      <c r="Y56" s="75">
        <v>0</v>
      </c>
      <c r="Z56" s="75">
        <v>349</v>
      </c>
      <c r="AA56" s="75">
        <v>100</v>
      </c>
      <c r="AB56" s="75">
        <v>150</v>
      </c>
      <c r="AC56" s="75">
        <v>50</v>
      </c>
      <c r="AD56" s="75">
        <v>49</v>
      </c>
      <c r="AE56" s="75"/>
      <c r="AF56" s="75"/>
      <c r="AG56" s="75"/>
      <c r="AH56" s="75"/>
      <c r="AI56" s="75"/>
      <c r="AJ56" s="75"/>
      <c r="AK56" s="75"/>
      <c r="AL56" s="75"/>
      <c r="AM56" s="75"/>
      <c r="AN56" s="75"/>
      <c r="AO56" s="75"/>
      <c r="AP56" s="75"/>
      <c r="AQ56" s="75"/>
      <c r="AR56" s="75"/>
      <c r="AS56" s="75"/>
      <c r="AT56" s="75"/>
      <c r="AU56" s="75"/>
      <c r="AV56" s="75"/>
      <c r="AW56" s="75"/>
      <c r="AX56" s="75"/>
      <c r="AY56" s="75"/>
      <c r="AZ56" s="75"/>
      <c r="BA56" s="91" t="s">
        <v>375</v>
      </c>
      <c r="BB56" s="75"/>
      <c r="BC56" s="75"/>
      <c r="BD56" s="75"/>
    </row>
    <row r="57" spans="1:56" s="41" customFormat="1" ht="53.25" customHeight="1">
      <c r="A57" s="408"/>
      <c r="B57" s="38" t="s">
        <v>362</v>
      </c>
      <c r="C57" s="38"/>
      <c r="D57" s="39"/>
      <c r="E57" s="39"/>
      <c r="F57" s="39"/>
      <c r="G57" s="39"/>
      <c r="H57" s="39">
        <f t="shared" si="19"/>
        <v>0</v>
      </c>
      <c r="I57" s="39"/>
      <c r="J57" s="39">
        <v>800000</v>
      </c>
      <c r="K57" s="39"/>
      <c r="L57" s="39"/>
      <c r="M57" s="39">
        <f t="shared" si="14"/>
        <v>800000</v>
      </c>
      <c r="N57" s="39">
        <f t="shared" si="15"/>
        <v>0</v>
      </c>
      <c r="O57" s="39">
        <f t="shared" si="16"/>
        <v>832000</v>
      </c>
      <c r="P57" s="39">
        <f t="shared" si="17"/>
        <v>0</v>
      </c>
      <c r="Q57" s="39">
        <f t="shared" si="18"/>
        <v>0</v>
      </c>
      <c r="R57" s="39">
        <f t="shared" si="6"/>
        <v>832000</v>
      </c>
      <c r="S57" s="39">
        <f t="shared" si="7"/>
        <v>0</v>
      </c>
      <c r="T57" s="39">
        <f t="shared" si="8"/>
        <v>865280</v>
      </c>
      <c r="U57" s="39">
        <f t="shared" si="9"/>
        <v>0</v>
      </c>
      <c r="V57" s="39">
        <f t="shared" si="10"/>
        <v>0</v>
      </c>
      <c r="W57" s="39">
        <f t="shared" si="11"/>
        <v>865280</v>
      </c>
      <c r="X57" s="75"/>
      <c r="Y57" s="75">
        <v>1</v>
      </c>
      <c r="Z57" s="75">
        <v>9</v>
      </c>
      <c r="AA57" s="75">
        <v>2</v>
      </c>
      <c r="AB57" s="75">
        <v>2</v>
      </c>
      <c r="AC57" s="75">
        <v>2</v>
      </c>
      <c r="AD57" s="75">
        <v>2</v>
      </c>
      <c r="AE57" s="75"/>
      <c r="AF57" s="75"/>
      <c r="AG57" s="75"/>
      <c r="AH57" s="75"/>
      <c r="AI57" s="75"/>
      <c r="AJ57" s="75"/>
      <c r="AK57" s="75"/>
      <c r="AL57" s="75"/>
      <c r="AM57" s="75"/>
      <c r="AN57" s="75"/>
      <c r="AO57" s="75"/>
      <c r="AP57" s="75"/>
      <c r="AQ57" s="75"/>
      <c r="AR57" s="75"/>
      <c r="AS57" s="75"/>
      <c r="AT57" s="75"/>
      <c r="AU57" s="75"/>
      <c r="AV57" s="75"/>
      <c r="AW57" s="75"/>
      <c r="AX57" s="75"/>
      <c r="AY57" s="75"/>
      <c r="AZ57" s="75"/>
      <c r="BA57" s="75" t="s">
        <v>375</v>
      </c>
      <c r="BB57" s="75"/>
      <c r="BC57" s="75"/>
      <c r="BD57" s="75"/>
    </row>
    <row r="58" spans="1:56" s="41" customFormat="1" ht="36.75" customHeight="1">
      <c r="A58" s="408"/>
      <c r="B58" s="38" t="s">
        <v>110</v>
      </c>
      <c r="C58" s="38"/>
      <c r="D58" s="39"/>
      <c r="E58" s="39">
        <v>1256773</v>
      </c>
      <c r="F58" s="39"/>
      <c r="G58" s="39"/>
      <c r="H58" s="39">
        <f t="shared" si="19"/>
        <v>1256773</v>
      </c>
      <c r="I58" s="39"/>
      <c r="J58" s="39"/>
      <c r="K58" s="39"/>
      <c r="L58" s="39"/>
      <c r="M58" s="39">
        <f t="shared" si="14"/>
        <v>0</v>
      </c>
      <c r="N58" s="39">
        <f t="shared" si="15"/>
        <v>0</v>
      </c>
      <c r="O58" s="39">
        <f t="shared" si="16"/>
        <v>0</v>
      </c>
      <c r="P58" s="39">
        <f t="shared" si="17"/>
        <v>0</v>
      </c>
      <c r="Q58" s="39">
        <f t="shared" si="18"/>
        <v>0</v>
      </c>
      <c r="R58" s="39">
        <f t="shared" si="6"/>
        <v>0</v>
      </c>
      <c r="S58" s="39">
        <f t="shared" si="7"/>
        <v>0</v>
      </c>
      <c r="T58" s="39">
        <f t="shared" si="8"/>
        <v>0</v>
      </c>
      <c r="U58" s="39">
        <f t="shared" si="9"/>
        <v>0</v>
      </c>
      <c r="V58" s="39">
        <f t="shared" si="10"/>
        <v>0</v>
      </c>
      <c r="W58" s="39">
        <f t="shared" si="11"/>
        <v>0</v>
      </c>
      <c r="X58" s="75"/>
      <c r="Y58" s="75">
        <v>1</v>
      </c>
      <c r="Z58" s="75">
        <v>9</v>
      </c>
      <c r="AA58" s="75">
        <v>2</v>
      </c>
      <c r="AB58" s="75">
        <v>2</v>
      </c>
      <c r="AC58" s="75">
        <v>2</v>
      </c>
      <c r="AD58" s="75">
        <v>2</v>
      </c>
      <c r="AE58" s="75"/>
      <c r="AF58" s="75"/>
      <c r="AG58" s="75"/>
      <c r="AH58" s="75"/>
      <c r="AI58" s="75"/>
      <c r="AJ58" s="75"/>
      <c r="AK58" s="75"/>
      <c r="AL58" s="75"/>
      <c r="AM58" s="75"/>
      <c r="AN58" s="75"/>
      <c r="AO58" s="75"/>
      <c r="AP58" s="75"/>
      <c r="AQ58" s="75"/>
      <c r="AR58" s="75"/>
      <c r="AS58" s="75"/>
      <c r="AT58" s="75"/>
      <c r="AU58" s="75"/>
      <c r="AV58" s="75"/>
      <c r="AW58" s="75"/>
      <c r="AX58" s="75"/>
      <c r="AY58" s="75"/>
      <c r="AZ58" s="75"/>
      <c r="BA58" s="91"/>
      <c r="BB58" s="75"/>
      <c r="BC58" s="75"/>
      <c r="BD58" s="75"/>
    </row>
    <row r="59" spans="1:56" s="41" customFormat="1" ht="50.25" customHeight="1">
      <c r="A59" s="408"/>
      <c r="B59" s="38" t="s">
        <v>111</v>
      </c>
      <c r="C59" s="38"/>
      <c r="D59" s="39"/>
      <c r="E59" s="39">
        <v>500000</v>
      </c>
      <c r="F59" s="39"/>
      <c r="G59" s="39"/>
      <c r="H59" s="39">
        <f t="shared" si="19"/>
        <v>500000</v>
      </c>
      <c r="I59" s="39"/>
      <c r="J59" s="39"/>
      <c r="K59" s="39"/>
      <c r="L59" s="39"/>
      <c r="M59" s="39">
        <f t="shared" si="14"/>
        <v>0</v>
      </c>
      <c r="N59" s="39">
        <f t="shared" si="15"/>
        <v>0</v>
      </c>
      <c r="O59" s="39">
        <f t="shared" si="16"/>
        <v>0</v>
      </c>
      <c r="P59" s="39">
        <f t="shared" si="17"/>
        <v>0</v>
      </c>
      <c r="Q59" s="39">
        <f t="shared" si="18"/>
        <v>0</v>
      </c>
      <c r="R59" s="39">
        <f t="shared" si="6"/>
        <v>0</v>
      </c>
      <c r="S59" s="39">
        <f t="shared" si="7"/>
        <v>0</v>
      </c>
      <c r="T59" s="39">
        <f t="shared" si="8"/>
        <v>0</v>
      </c>
      <c r="U59" s="39">
        <f t="shared" si="9"/>
        <v>0</v>
      </c>
      <c r="V59" s="39">
        <f t="shared" si="10"/>
        <v>0</v>
      </c>
      <c r="W59" s="39">
        <f t="shared" si="11"/>
        <v>0</v>
      </c>
      <c r="X59" s="75"/>
      <c r="Y59" s="75">
        <v>0</v>
      </c>
      <c r="Z59" s="75">
        <v>4</v>
      </c>
      <c r="AA59" s="75">
        <v>1</v>
      </c>
      <c r="AB59" s="75">
        <v>1</v>
      </c>
      <c r="AC59" s="75">
        <v>1</v>
      </c>
      <c r="AD59" s="75">
        <v>1</v>
      </c>
      <c r="AE59" s="75"/>
      <c r="AF59" s="75"/>
      <c r="AG59" s="75"/>
      <c r="AH59" s="75"/>
      <c r="AI59" s="75"/>
      <c r="AJ59" s="75"/>
      <c r="AK59" s="75"/>
      <c r="AL59" s="75"/>
      <c r="AM59" s="75"/>
      <c r="AN59" s="75"/>
      <c r="AO59" s="75"/>
      <c r="AP59" s="75"/>
      <c r="AQ59" s="75"/>
      <c r="AR59" s="75"/>
      <c r="AS59" s="75"/>
      <c r="AT59" s="75"/>
      <c r="AU59" s="75"/>
      <c r="AV59" s="75"/>
      <c r="AW59" s="75"/>
      <c r="AX59" s="75"/>
      <c r="AY59" s="75"/>
      <c r="AZ59" s="75"/>
      <c r="BA59" s="91"/>
      <c r="BB59" s="75"/>
      <c r="BC59" s="75"/>
      <c r="BD59" s="75"/>
    </row>
    <row r="60" spans="1:56" s="41" customFormat="1" ht="39" customHeight="1">
      <c r="A60" s="408"/>
      <c r="B60" s="38" t="s">
        <v>265</v>
      </c>
      <c r="C60" s="38"/>
      <c r="D60" s="39"/>
      <c r="E60" s="39"/>
      <c r="F60" s="39"/>
      <c r="G60" s="39"/>
      <c r="H60" s="39">
        <f t="shared" si="19"/>
        <v>0</v>
      </c>
      <c r="I60" s="39"/>
      <c r="J60" s="39">
        <v>200000</v>
      </c>
      <c r="K60" s="39"/>
      <c r="L60" s="39"/>
      <c r="M60" s="39">
        <f t="shared" si="14"/>
        <v>200000</v>
      </c>
      <c r="N60" s="39">
        <f t="shared" si="15"/>
        <v>0</v>
      </c>
      <c r="O60" s="39">
        <f t="shared" si="16"/>
        <v>208000</v>
      </c>
      <c r="P60" s="39">
        <f t="shared" si="17"/>
        <v>0</v>
      </c>
      <c r="Q60" s="39">
        <f t="shared" si="18"/>
        <v>0</v>
      </c>
      <c r="R60" s="39">
        <f t="shared" si="6"/>
        <v>208000</v>
      </c>
      <c r="S60" s="39">
        <f t="shared" si="7"/>
        <v>0</v>
      </c>
      <c r="T60" s="39">
        <f t="shared" si="8"/>
        <v>216320</v>
      </c>
      <c r="U60" s="39">
        <f t="shared" si="9"/>
        <v>0</v>
      </c>
      <c r="V60" s="39">
        <f t="shared" si="10"/>
        <v>0</v>
      </c>
      <c r="W60" s="39">
        <f t="shared" si="11"/>
        <v>216320</v>
      </c>
      <c r="X60" s="75"/>
      <c r="Y60" s="75">
        <v>63</v>
      </c>
      <c r="Z60" s="75">
        <v>263</v>
      </c>
      <c r="AA60" s="75">
        <v>50</v>
      </c>
      <c r="AB60" s="75">
        <v>50</v>
      </c>
      <c r="AC60" s="75">
        <v>50</v>
      </c>
      <c r="AD60" s="75">
        <v>50</v>
      </c>
      <c r="AE60" s="75"/>
      <c r="AF60" s="75"/>
      <c r="AG60" s="75"/>
      <c r="AH60" s="75"/>
      <c r="AI60" s="75"/>
      <c r="AJ60" s="75"/>
      <c r="AK60" s="75"/>
      <c r="AL60" s="75"/>
      <c r="AM60" s="75"/>
      <c r="AN60" s="75"/>
      <c r="AO60" s="75"/>
      <c r="AP60" s="75"/>
      <c r="AQ60" s="75"/>
      <c r="AR60" s="75"/>
      <c r="AS60" s="75"/>
      <c r="AT60" s="75"/>
      <c r="AU60" s="75"/>
      <c r="AV60" s="75"/>
      <c r="AW60" s="75"/>
      <c r="AX60" s="75"/>
      <c r="AY60" s="75"/>
      <c r="AZ60" s="75"/>
      <c r="BA60" s="91"/>
      <c r="BB60" s="75"/>
      <c r="BC60" s="75"/>
      <c r="BD60" s="75"/>
    </row>
    <row r="61" spans="1:56" s="41" customFormat="1" ht="36">
      <c r="A61" s="408"/>
      <c r="B61" s="38" t="s">
        <v>266</v>
      </c>
      <c r="C61" s="38"/>
      <c r="D61" s="39"/>
      <c r="E61" s="39"/>
      <c r="F61" s="39"/>
      <c r="G61" s="39"/>
      <c r="H61" s="39">
        <f t="shared" si="19"/>
        <v>0</v>
      </c>
      <c r="I61" s="39"/>
      <c r="J61" s="39">
        <v>200000</v>
      </c>
      <c r="K61" s="39"/>
      <c r="L61" s="39"/>
      <c r="M61" s="39">
        <f t="shared" si="14"/>
        <v>200000</v>
      </c>
      <c r="N61" s="39">
        <f t="shared" si="15"/>
        <v>0</v>
      </c>
      <c r="O61" s="39">
        <f t="shared" si="16"/>
        <v>208000</v>
      </c>
      <c r="P61" s="39">
        <f t="shared" si="17"/>
        <v>0</v>
      </c>
      <c r="Q61" s="39">
        <f t="shared" si="18"/>
        <v>0</v>
      </c>
      <c r="R61" s="39">
        <f t="shared" si="6"/>
        <v>208000</v>
      </c>
      <c r="S61" s="39">
        <f t="shared" si="7"/>
        <v>0</v>
      </c>
      <c r="T61" s="39">
        <f t="shared" si="8"/>
        <v>216320</v>
      </c>
      <c r="U61" s="39">
        <f t="shared" si="9"/>
        <v>0</v>
      </c>
      <c r="V61" s="39">
        <f t="shared" si="10"/>
        <v>0</v>
      </c>
      <c r="W61" s="39">
        <f t="shared" si="11"/>
        <v>216320</v>
      </c>
      <c r="X61" s="75"/>
      <c r="Y61" s="75">
        <v>5</v>
      </c>
      <c r="Z61" s="75">
        <v>85</v>
      </c>
      <c r="AA61" s="75">
        <v>20</v>
      </c>
      <c r="AB61" s="75">
        <v>20</v>
      </c>
      <c r="AC61" s="75">
        <v>20</v>
      </c>
      <c r="AD61" s="75">
        <v>20</v>
      </c>
      <c r="AE61" s="75"/>
      <c r="AF61" s="75"/>
      <c r="AG61" s="75"/>
      <c r="AH61" s="75"/>
      <c r="AI61" s="75"/>
      <c r="AJ61" s="75"/>
      <c r="AK61" s="75"/>
      <c r="AL61" s="75"/>
      <c r="AM61" s="75"/>
      <c r="AN61" s="75"/>
      <c r="AO61" s="75"/>
      <c r="AP61" s="75"/>
      <c r="AQ61" s="75"/>
      <c r="AR61" s="75"/>
      <c r="AS61" s="75"/>
      <c r="AT61" s="75"/>
      <c r="AU61" s="75"/>
      <c r="AV61" s="75"/>
      <c r="AW61" s="75"/>
      <c r="AX61" s="75"/>
      <c r="AY61" s="75"/>
      <c r="AZ61" s="75"/>
      <c r="BA61" s="91"/>
      <c r="BB61" s="75"/>
      <c r="BC61" s="75"/>
      <c r="BD61" s="75"/>
    </row>
    <row r="62" spans="1:56" s="41" customFormat="1" ht="53.25" customHeight="1">
      <c r="A62" s="408"/>
      <c r="B62" s="38" t="s">
        <v>112</v>
      </c>
      <c r="C62" s="38"/>
      <c r="D62" s="39"/>
      <c r="E62" s="39"/>
      <c r="F62" s="39"/>
      <c r="G62" s="39"/>
      <c r="H62" s="39">
        <f t="shared" si="19"/>
        <v>0</v>
      </c>
      <c r="I62" s="39"/>
      <c r="J62" s="39">
        <v>500000</v>
      </c>
      <c r="K62" s="39"/>
      <c r="L62" s="39"/>
      <c r="M62" s="39">
        <f t="shared" si="14"/>
        <v>500000</v>
      </c>
      <c r="N62" s="39">
        <f t="shared" si="15"/>
        <v>0</v>
      </c>
      <c r="O62" s="39">
        <f t="shared" si="16"/>
        <v>520000</v>
      </c>
      <c r="P62" s="39">
        <f t="shared" si="17"/>
        <v>0</v>
      </c>
      <c r="Q62" s="39">
        <f t="shared" si="18"/>
        <v>0</v>
      </c>
      <c r="R62" s="39">
        <f t="shared" si="6"/>
        <v>520000</v>
      </c>
      <c r="S62" s="39">
        <f t="shared" si="7"/>
        <v>0</v>
      </c>
      <c r="T62" s="39">
        <f t="shared" si="8"/>
        <v>540800</v>
      </c>
      <c r="U62" s="39">
        <f t="shared" si="9"/>
        <v>0</v>
      </c>
      <c r="V62" s="39">
        <f t="shared" si="10"/>
        <v>0</v>
      </c>
      <c r="W62" s="39">
        <f t="shared" si="11"/>
        <v>540800</v>
      </c>
      <c r="X62" s="75"/>
      <c r="Y62" s="75">
        <v>1</v>
      </c>
      <c r="Z62" s="75">
        <v>5</v>
      </c>
      <c r="AA62" s="75">
        <v>1</v>
      </c>
      <c r="AB62" s="75">
        <v>1</v>
      </c>
      <c r="AC62" s="75">
        <v>1</v>
      </c>
      <c r="AD62" s="75">
        <v>1</v>
      </c>
      <c r="AE62" s="75"/>
      <c r="AF62" s="75"/>
      <c r="AG62" s="75"/>
      <c r="AH62" s="75"/>
      <c r="AI62" s="75"/>
      <c r="AJ62" s="75"/>
      <c r="AK62" s="75"/>
      <c r="AL62" s="75"/>
      <c r="AM62" s="75"/>
      <c r="AN62" s="75"/>
      <c r="AO62" s="75"/>
      <c r="AP62" s="75"/>
      <c r="AQ62" s="75"/>
      <c r="AR62" s="75"/>
      <c r="AS62" s="75"/>
      <c r="AT62" s="75"/>
      <c r="AU62" s="75"/>
      <c r="AV62" s="75"/>
      <c r="AW62" s="75"/>
      <c r="AX62" s="75"/>
      <c r="AY62" s="75"/>
      <c r="AZ62" s="75"/>
      <c r="BA62" s="91"/>
      <c r="BB62" s="75"/>
      <c r="BC62" s="75"/>
      <c r="BD62" s="75"/>
    </row>
    <row r="63" spans="1:56" s="41" customFormat="1" ht="27" customHeight="1">
      <c r="A63" s="408"/>
      <c r="B63" s="38" t="s">
        <v>267</v>
      </c>
      <c r="C63" s="38"/>
      <c r="D63" s="39"/>
      <c r="E63" s="39"/>
      <c r="F63" s="39"/>
      <c r="G63" s="39"/>
      <c r="H63" s="39">
        <f t="shared" si="19"/>
        <v>0</v>
      </c>
      <c r="I63" s="39"/>
      <c r="J63" s="39">
        <v>200000</v>
      </c>
      <c r="K63" s="39"/>
      <c r="L63" s="39"/>
      <c r="M63" s="39">
        <f t="shared" si="14"/>
        <v>200000</v>
      </c>
      <c r="N63" s="39">
        <f t="shared" si="15"/>
        <v>0</v>
      </c>
      <c r="O63" s="39">
        <f t="shared" si="16"/>
        <v>208000</v>
      </c>
      <c r="P63" s="39">
        <f t="shared" si="17"/>
        <v>0</v>
      </c>
      <c r="Q63" s="39">
        <f t="shared" si="18"/>
        <v>0</v>
      </c>
      <c r="R63" s="39">
        <f t="shared" si="6"/>
        <v>208000</v>
      </c>
      <c r="S63" s="39">
        <f t="shared" si="7"/>
        <v>0</v>
      </c>
      <c r="T63" s="39">
        <f t="shared" si="8"/>
        <v>216320</v>
      </c>
      <c r="U63" s="39">
        <f t="shared" si="9"/>
        <v>0</v>
      </c>
      <c r="V63" s="39">
        <f t="shared" si="10"/>
        <v>0</v>
      </c>
      <c r="W63" s="39">
        <f t="shared" si="11"/>
        <v>216320</v>
      </c>
      <c r="X63" s="75"/>
      <c r="Y63" s="75">
        <v>2</v>
      </c>
      <c r="Z63" s="75">
        <v>22</v>
      </c>
      <c r="AA63" s="75">
        <v>5</v>
      </c>
      <c r="AB63" s="75">
        <v>5</v>
      </c>
      <c r="AC63" s="75">
        <v>5</v>
      </c>
      <c r="AD63" s="75">
        <v>5</v>
      </c>
      <c r="AE63" s="75"/>
      <c r="AF63" s="75"/>
      <c r="AG63" s="75"/>
      <c r="AH63" s="75"/>
      <c r="AI63" s="75"/>
      <c r="AJ63" s="75"/>
      <c r="AK63" s="75"/>
      <c r="AL63" s="75"/>
      <c r="AM63" s="75"/>
      <c r="AN63" s="75"/>
      <c r="AO63" s="75"/>
      <c r="AP63" s="75"/>
      <c r="AQ63" s="75"/>
      <c r="AR63" s="75"/>
      <c r="AS63" s="75"/>
      <c r="AT63" s="75"/>
      <c r="AU63" s="75"/>
      <c r="AV63" s="75"/>
      <c r="AW63" s="75"/>
      <c r="AX63" s="75"/>
      <c r="AY63" s="75"/>
      <c r="AZ63" s="75"/>
      <c r="BA63" s="75" t="s">
        <v>375</v>
      </c>
      <c r="BB63" s="75"/>
      <c r="BC63" s="75"/>
      <c r="BD63" s="75"/>
    </row>
    <row r="64" spans="1:56" s="41" customFormat="1" ht="33.75" customHeight="1">
      <c r="A64" s="408"/>
      <c r="B64" s="38" t="s">
        <v>113</v>
      </c>
      <c r="C64" s="38"/>
      <c r="D64" s="39"/>
      <c r="E64" s="39"/>
      <c r="F64" s="39"/>
      <c r="G64" s="39"/>
      <c r="H64" s="39">
        <f t="shared" si="19"/>
        <v>0</v>
      </c>
      <c r="I64" s="39"/>
      <c r="J64" s="39"/>
      <c r="K64" s="39"/>
      <c r="L64" s="39"/>
      <c r="M64" s="39">
        <f t="shared" si="14"/>
        <v>0</v>
      </c>
      <c r="N64" s="39">
        <f t="shared" si="15"/>
        <v>0</v>
      </c>
      <c r="O64" s="39">
        <f t="shared" si="16"/>
        <v>0</v>
      </c>
      <c r="P64" s="39">
        <f t="shared" si="17"/>
        <v>0</v>
      </c>
      <c r="Q64" s="39">
        <f t="shared" si="18"/>
        <v>0</v>
      </c>
      <c r="R64" s="39">
        <f t="shared" si="6"/>
        <v>0</v>
      </c>
      <c r="S64" s="39">
        <f t="shared" si="7"/>
        <v>0</v>
      </c>
      <c r="T64" s="39">
        <f t="shared" si="8"/>
        <v>0</v>
      </c>
      <c r="U64" s="39">
        <f t="shared" si="9"/>
        <v>0</v>
      </c>
      <c r="V64" s="39">
        <f t="shared" si="10"/>
        <v>0</v>
      </c>
      <c r="W64" s="39">
        <f t="shared" si="11"/>
        <v>0</v>
      </c>
      <c r="X64" s="75"/>
      <c r="Y64" s="75">
        <v>191</v>
      </c>
      <c r="Z64" s="75">
        <v>491</v>
      </c>
      <c r="AA64" s="75">
        <v>100</v>
      </c>
      <c r="AB64" s="75">
        <v>100</v>
      </c>
      <c r="AC64" s="75">
        <v>100</v>
      </c>
      <c r="AD64" s="75">
        <v>0</v>
      </c>
      <c r="AE64" s="75"/>
      <c r="AF64" s="75"/>
      <c r="AG64" s="75"/>
      <c r="AH64" s="75"/>
      <c r="AI64" s="75"/>
      <c r="AJ64" s="75"/>
      <c r="AK64" s="75"/>
      <c r="AL64" s="75"/>
      <c r="AM64" s="75"/>
      <c r="AN64" s="75"/>
      <c r="AO64" s="75"/>
      <c r="AP64" s="75"/>
      <c r="AQ64" s="75"/>
      <c r="AR64" s="75"/>
      <c r="AS64" s="75"/>
      <c r="AT64" s="75"/>
      <c r="AU64" s="75"/>
      <c r="AV64" s="75"/>
      <c r="AW64" s="75"/>
      <c r="AX64" s="75"/>
      <c r="AY64" s="75"/>
      <c r="AZ64" s="75"/>
      <c r="BA64" s="91"/>
      <c r="BB64" s="75"/>
      <c r="BC64" s="75"/>
      <c r="BD64" s="75"/>
    </row>
    <row r="65" spans="1:56" s="41" customFormat="1" ht="84">
      <c r="A65" s="408"/>
      <c r="B65" s="43" t="s">
        <v>268</v>
      </c>
      <c r="C65" s="43"/>
      <c r="D65" s="39"/>
      <c r="E65" s="39">
        <v>500000</v>
      </c>
      <c r="F65" s="39"/>
      <c r="G65" s="39"/>
      <c r="H65" s="39">
        <f t="shared" si="19"/>
        <v>500000</v>
      </c>
      <c r="I65" s="39"/>
      <c r="J65" s="39"/>
      <c r="K65" s="39"/>
      <c r="L65" s="39">
        <v>0</v>
      </c>
      <c r="M65" s="39">
        <f t="shared" si="14"/>
        <v>0</v>
      </c>
      <c r="N65" s="39">
        <f t="shared" si="15"/>
        <v>0</v>
      </c>
      <c r="O65" s="39">
        <f t="shared" si="16"/>
        <v>0</v>
      </c>
      <c r="P65" s="39">
        <f t="shared" si="17"/>
        <v>0</v>
      </c>
      <c r="Q65" s="39">
        <f t="shared" si="18"/>
        <v>0</v>
      </c>
      <c r="R65" s="39">
        <f t="shared" si="6"/>
        <v>0</v>
      </c>
      <c r="S65" s="39">
        <f t="shared" si="7"/>
        <v>0</v>
      </c>
      <c r="T65" s="39">
        <f t="shared" si="8"/>
        <v>0</v>
      </c>
      <c r="U65" s="39">
        <f t="shared" si="9"/>
        <v>0</v>
      </c>
      <c r="V65" s="39">
        <f t="shared" si="10"/>
        <v>0</v>
      </c>
      <c r="W65" s="39">
        <f t="shared" si="11"/>
        <v>0</v>
      </c>
      <c r="X65" s="75"/>
      <c r="Y65" s="75">
        <v>0</v>
      </c>
      <c r="Z65" s="75">
        <v>12</v>
      </c>
      <c r="AA65" s="75">
        <v>3</v>
      </c>
      <c r="AB65" s="75">
        <v>3</v>
      </c>
      <c r="AC65" s="75">
        <v>3</v>
      </c>
      <c r="AD65" s="75">
        <v>3</v>
      </c>
      <c r="AE65" s="75"/>
      <c r="AF65" s="75"/>
      <c r="AG65" s="75"/>
      <c r="AH65" s="75"/>
      <c r="AI65" s="75"/>
      <c r="AJ65" s="75"/>
      <c r="AK65" s="75"/>
      <c r="AL65" s="75"/>
      <c r="AM65" s="75"/>
      <c r="AN65" s="75"/>
      <c r="AO65" s="75"/>
      <c r="AP65" s="75"/>
      <c r="AQ65" s="75"/>
      <c r="AR65" s="75"/>
      <c r="AS65" s="75"/>
      <c r="AT65" s="75"/>
      <c r="AU65" s="75"/>
      <c r="AV65" s="75"/>
      <c r="AW65" s="75"/>
      <c r="AX65" s="75"/>
      <c r="AY65" s="75"/>
      <c r="AZ65" s="75"/>
      <c r="BA65" s="75" t="s">
        <v>375</v>
      </c>
      <c r="BB65" s="75"/>
      <c r="BC65" s="75"/>
      <c r="BD65" s="75"/>
    </row>
    <row r="66" spans="1:56" s="41" customFormat="1" ht="48.75" customHeight="1">
      <c r="A66" s="408"/>
      <c r="B66" s="38" t="s">
        <v>114</v>
      </c>
      <c r="C66" s="38"/>
      <c r="D66" s="39">
        <v>10000000</v>
      </c>
      <c r="E66" s="39"/>
      <c r="F66" s="39"/>
      <c r="G66" s="39"/>
      <c r="H66" s="39">
        <f t="shared" si="19"/>
        <v>10000000</v>
      </c>
      <c r="I66" s="39"/>
      <c r="J66" s="39"/>
      <c r="K66" s="39"/>
      <c r="L66" s="39"/>
      <c r="M66" s="39">
        <f t="shared" si="14"/>
        <v>0</v>
      </c>
      <c r="N66" s="39">
        <f t="shared" si="15"/>
        <v>0</v>
      </c>
      <c r="O66" s="39">
        <f t="shared" si="16"/>
        <v>0</v>
      </c>
      <c r="P66" s="39">
        <f t="shared" si="17"/>
        <v>0</v>
      </c>
      <c r="Q66" s="39">
        <f t="shared" si="18"/>
        <v>0</v>
      </c>
      <c r="R66" s="39">
        <f t="shared" si="6"/>
        <v>0</v>
      </c>
      <c r="S66" s="39">
        <f t="shared" si="7"/>
        <v>0</v>
      </c>
      <c r="T66" s="39">
        <f t="shared" si="8"/>
        <v>0</v>
      </c>
      <c r="U66" s="39">
        <f t="shared" si="9"/>
        <v>0</v>
      </c>
      <c r="V66" s="39">
        <f t="shared" si="10"/>
        <v>0</v>
      </c>
      <c r="W66" s="39">
        <f t="shared" si="11"/>
        <v>0</v>
      </c>
      <c r="X66" s="75"/>
      <c r="Y66" s="75">
        <v>0</v>
      </c>
      <c r="Z66" s="75">
        <v>1</v>
      </c>
      <c r="AA66" s="75">
        <v>1</v>
      </c>
      <c r="AB66" s="75">
        <v>0</v>
      </c>
      <c r="AC66" s="75">
        <v>0</v>
      </c>
      <c r="AD66" s="75">
        <v>0</v>
      </c>
      <c r="AE66" s="75"/>
      <c r="AF66" s="75"/>
      <c r="AG66" s="75"/>
      <c r="AH66" s="75"/>
      <c r="AI66" s="75"/>
      <c r="AJ66" s="75"/>
      <c r="AK66" s="75"/>
      <c r="AL66" s="75"/>
      <c r="AM66" s="75"/>
      <c r="AN66" s="75"/>
      <c r="AO66" s="75"/>
      <c r="AP66" s="75"/>
      <c r="AQ66" s="75"/>
      <c r="AR66" s="75"/>
      <c r="AS66" s="75"/>
      <c r="AT66" s="75"/>
      <c r="AU66" s="75"/>
      <c r="AV66" s="75"/>
      <c r="AW66" s="75"/>
      <c r="AX66" s="75"/>
      <c r="AY66" s="75"/>
      <c r="AZ66" s="75"/>
      <c r="BA66" s="91"/>
      <c r="BB66" s="75"/>
      <c r="BC66" s="75"/>
      <c r="BD66" s="75"/>
    </row>
    <row r="67" spans="1:56" s="41" customFormat="1" ht="41.25" customHeight="1">
      <c r="A67" s="408"/>
      <c r="B67" s="38" t="s">
        <v>269</v>
      </c>
      <c r="C67" s="38"/>
      <c r="D67" s="39"/>
      <c r="E67" s="39"/>
      <c r="F67" s="39"/>
      <c r="G67" s="39"/>
      <c r="H67" s="39">
        <f t="shared" si="19"/>
        <v>0</v>
      </c>
      <c r="I67" s="39"/>
      <c r="J67" s="39"/>
      <c r="K67" s="39"/>
      <c r="L67" s="39"/>
      <c r="M67" s="39"/>
      <c r="N67" s="39"/>
      <c r="O67" s="39"/>
      <c r="P67" s="39"/>
      <c r="Q67" s="39"/>
      <c r="R67" s="39"/>
      <c r="S67" s="39"/>
      <c r="T67" s="39"/>
      <c r="U67" s="39"/>
      <c r="V67" s="39"/>
      <c r="W67" s="39"/>
      <c r="X67" s="75"/>
      <c r="Y67" s="75">
        <v>0</v>
      </c>
      <c r="Z67" s="75">
        <v>100</v>
      </c>
      <c r="AA67" s="75">
        <v>25</v>
      </c>
      <c r="AB67" s="75">
        <v>25</v>
      </c>
      <c r="AC67" s="75">
        <v>25</v>
      </c>
      <c r="AD67" s="75">
        <v>25</v>
      </c>
      <c r="AE67" s="75"/>
      <c r="AF67" s="75"/>
      <c r="AG67" s="75"/>
      <c r="AH67" s="75"/>
      <c r="AI67" s="75"/>
      <c r="AJ67" s="75"/>
      <c r="AK67" s="75"/>
      <c r="AL67" s="75"/>
      <c r="AM67" s="75"/>
      <c r="AN67" s="75"/>
      <c r="AO67" s="75"/>
      <c r="AP67" s="75"/>
      <c r="AQ67" s="75"/>
      <c r="AR67" s="75"/>
      <c r="AS67" s="75"/>
      <c r="AT67" s="75"/>
      <c r="AU67" s="75"/>
      <c r="AV67" s="75"/>
      <c r="AW67" s="75"/>
      <c r="AX67" s="75"/>
      <c r="AY67" s="75"/>
      <c r="AZ67" s="75"/>
      <c r="BA67" s="75" t="s">
        <v>375</v>
      </c>
      <c r="BB67" s="75"/>
      <c r="BC67" s="75"/>
      <c r="BD67" s="75"/>
    </row>
    <row r="68" spans="1:56" s="41" customFormat="1" ht="34.5" customHeight="1">
      <c r="A68" s="408"/>
      <c r="B68" s="38" t="s">
        <v>115</v>
      </c>
      <c r="C68" s="38"/>
      <c r="D68" s="39"/>
      <c r="E68" s="39"/>
      <c r="F68" s="39"/>
      <c r="G68" s="39">
        <v>200000</v>
      </c>
      <c r="H68" s="39">
        <f t="shared" si="19"/>
        <v>200000</v>
      </c>
      <c r="I68" s="39"/>
      <c r="J68" s="39"/>
      <c r="K68" s="39"/>
      <c r="L68" s="39"/>
      <c r="M68" s="39"/>
      <c r="N68" s="39">
        <v>1500000</v>
      </c>
      <c r="O68" s="39"/>
      <c r="P68" s="39"/>
      <c r="Q68" s="39"/>
      <c r="R68" s="39"/>
      <c r="S68" s="39"/>
      <c r="T68" s="39"/>
      <c r="U68" s="39"/>
      <c r="V68" s="42"/>
      <c r="W68" s="42"/>
      <c r="X68" s="75"/>
      <c r="Y68" s="75">
        <v>0</v>
      </c>
      <c r="Z68" s="75">
        <v>1</v>
      </c>
      <c r="AA68" s="75">
        <v>25</v>
      </c>
      <c r="AB68" s="75">
        <v>25</v>
      </c>
      <c r="AC68" s="75">
        <v>25</v>
      </c>
      <c r="AD68" s="75">
        <v>25</v>
      </c>
      <c r="AE68" s="75"/>
      <c r="AF68" s="75"/>
      <c r="AG68" s="75"/>
      <c r="AH68" s="75"/>
      <c r="AI68" s="75"/>
      <c r="AJ68" s="75"/>
      <c r="AK68" s="75"/>
      <c r="AL68" s="75"/>
      <c r="AM68" s="75"/>
      <c r="AN68" s="75"/>
      <c r="AO68" s="75"/>
      <c r="AP68" s="75"/>
      <c r="AQ68" s="75"/>
      <c r="AR68" s="75"/>
      <c r="AS68" s="75"/>
      <c r="AT68" s="75"/>
      <c r="AU68" s="75"/>
      <c r="AV68" s="75"/>
      <c r="AW68" s="75"/>
      <c r="AX68" s="75"/>
      <c r="AY68" s="75"/>
      <c r="AZ68" s="75"/>
      <c r="BA68" s="91"/>
      <c r="BB68" s="75"/>
      <c r="BC68" s="75"/>
      <c r="BD68" s="75"/>
    </row>
    <row r="69" spans="1:56" s="41" customFormat="1" ht="39.75" customHeight="1">
      <c r="A69" s="408"/>
      <c r="B69" s="38" t="s">
        <v>116</v>
      </c>
      <c r="C69" s="38"/>
      <c r="D69" s="39"/>
      <c r="E69" s="39"/>
      <c r="F69" s="39"/>
      <c r="G69" s="39">
        <v>200000</v>
      </c>
      <c r="H69" s="39">
        <f t="shared" si="19"/>
        <v>200000</v>
      </c>
      <c r="I69" s="39"/>
      <c r="J69" s="39"/>
      <c r="K69" s="39"/>
      <c r="L69" s="39"/>
      <c r="M69" s="39"/>
      <c r="N69" s="39"/>
      <c r="O69" s="39"/>
      <c r="P69" s="39"/>
      <c r="Q69" s="39"/>
      <c r="R69" s="39"/>
      <c r="S69" s="39"/>
      <c r="T69" s="39"/>
      <c r="U69" s="39"/>
      <c r="V69" s="42"/>
      <c r="W69" s="42"/>
      <c r="X69" s="75"/>
      <c r="Y69" s="75">
        <v>1</v>
      </c>
      <c r="Z69" s="75">
        <v>5</v>
      </c>
      <c r="AA69" s="75">
        <v>1</v>
      </c>
      <c r="AB69" s="75">
        <v>1</v>
      </c>
      <c r="AC69" s="75">
        <v>1</v>
      </c>
      <c r="AD69" s="75">
        <v>1</v>
      </c>
      <c r="AE69" s="75"/>
      <c r="AF69" s="75"/>
      <c r="AG69" s="75"/>
      <c r="AH69" s="75"/>
      <c r="AI69" s="75"/>
      <c r="AJ69" s="75"/>
      <c r="AK69" s="75"/>
      <c r="AL69" s="75"/>
      <c r="AM69" s="75"/>
      <c r="AN69" s="75"/>
      <c r="AO69" s="75"/>
      <c r="AP69" s="75"/>
      <c r="AQ69" s="75"/>
      <c r="AR69" s="75"/>
      <c r="AS69" s="75"/>
      <c r="AT69" s="75"/>
      <c r="AU69" s="75"/>
      <c r="AV69" s="75"/>
      <c r="AW69" s="75"/>
      <c r="AX69" s="75"/>
      <c r="AY69" s="75"/>
      <c r="AZ69" s="75"/>
      <c r="BA69" s="91"/>
      <c r="BB69" s="75"/>
      <c r="BC69" s="75"/>
      <c r="BD69" s="75"/>
    </row>
    <row r="70" spans="1:56" s="41" customFormat="1" ht="48.75" customHeight="1">
      <c r="A70" s="408"/>
      <c r="B70" s="38" t="s">
        <v>117</v>
      </c>
      <c r="C70" s="38"/>
      <c r="D70" s="39"/>
      <c r="E70" s="39"/>
      <c r="F70" s="39"/>
      <c r="G70" s="39"/>
      <c r="H70" s="39">
        <f t="shared" si="19"/>
        <v>0</v>
      </c>
      <c r="I70" s="39"/>
      <c r="J70" s="39"/>
      <c r="K70" s="39"/>
      <c r="L70" s="39"/>
      <c r="M70" s="39"/>
      <c r="N70" s="39">
        <v>500000</v>
      </c>
      <c r="O70" s="39"/>
      <c r="P70" s="39"/>
      <c r="Q70" s="39"/>
      <c r="R70" s="39"/>
      <c r="S70" s="39"/>
      <c r="T70" s="39"/>
      <c r="U70" s="39"/>
      <c r="V70" s="42"/>
      <c r="W70" s="42"/>
      <c r="X70" s="75"/>
      <c r="Y70" s="75">
        <v>25</v>
      </c>
      <c r="Z70" s="75">
        <v>105</v>
      </c>
      <c r="AA70" s="75">
        <v>20</v>
      </c>
      <c r="AB70" s="75">
        <v>20</v>
      </c>
      <c r="AC70" s="75">
        <v>20</v>
      </c>
      <c r="AD70" s="75">
        <v>20</v>
      </c>
      <c r="AE70" s="75"/>
      <c r="AF70" s="75"/>
      <c r="AG70" s="75"/>
      <c r="AH70" s="75"/>
      <c r="AI70" s="75"/>
      <c r="AJ70" s="75"/>
      <c r="AK70" s="75"/>
      <c r="AL70" s="75"/>
      <c r="AM70" s="75"/>
      <c r="AN70" s="75"/>
      <c r="AO70" s="75"/>
      <c r="AP70" s="75"/>
      <c r="AQ70" s="75"/>
      <c r="AR70" s="75"/>
      <c r="AS70" s="75"/>
      <c r="AT70" s="75"/>
      <c r="AU70" s="75"/>
      <c r="AV70" s="75"/>
      <c r="AW70" s="75"/>
      <c r="AX70" s="75"/>
      <c r="AY70" s="75"/>
      <c r="AZ70" s="75"/>
      <c r="BA70" s="91"/>
      <c r="BB70" s="75"/>
      <c r="BC70" s="75"/>
      <c r="BD70" s="75"/>
    </row>
    <row r="71" spans="1:56" s="41" customFormat="1" ht="27.75" customHeight="1">
      <c r="A71" s="408"/>
      <c r="B71" s="38" t="s">
        <v>118</v>
      </c>
      <c r="C71" s="38"/>
      <c r="D71" s="39"/>
      <c r="E71" s="39"/>
      <c r="F71" s="39"/>
      <c r="G71" s="39"/>
      <c r="H71" s="39">
        <f t="shared" si="19"/>
        <v>0</v>
      </c>
      <c r="I71" s="39"/>
      <c r="J71" s="39"/>
      <c r="K71" s="39"/>
      <c r="L71" s="39"/>
      <c r="M71" s="39"/>
      <c r="N71" s="39"/>
      <c r="O71" s="39"/>
      <c r="P71" s="39"/>
      <c r="Q71" s="39"/>
      <c r="R71" s="39"/>
      <c r="S71" s="39"/>
      <c r="T71" s="39"/>
      <c r="U71" s="39"/>
      <c r="V71" s="42"/>
      <c r="W71" s="42"/>
      <c r="X71" s="75"/>
      <c r="Y71" s="75">
        <v>0</v>
      </c>
      <c r="Z71" s="75">
        <v>1</v>
      </c>
      <c r="AA71" s="75">
        <v>0</v>
      </c>
      <c r="AB71" s="75">
        <v>1</v>
      </c>
      <c r="AC71" s="75">
        <v>0</v>
      </c>
      <c r="AD71" s="75">
        <v>0</v>
      </c>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row>
    <row r="72" spans="1:56" s="41" customFormat="1" ht="39" customHeight="1">
      <c r="A72" s="408"/>
      <c r="B72" s="38" t="s">
        <v>270</v>
      </c>
      <c r="C72" s="38"/>
      <c r="D72" s="39">
        <v>10000000</v>
      </c>
      <c r="E72" s="39"/>
      <c r="F72" s="39"/>
      <c r="G72" s="39"/>
      <c r="H72" s="39">
        <f t="shared" si="19"/>
        <v>10000000</v>
      </c>
      <c r="I72" s="39"/>
      <c r="J72" s="39"/>
      <c r="K72" s="39"/>
      <c r="L72" s="39"/>
      <c r="M72" s="39"/>
      <c r="N72" s="39">
        <v>2000000</v>
      </c>
      <c r="O72" s="39"/>
      <c r="P72" s="39"/>
      <c r="Q72" s="39"/>
      <c r="R72" s="39"/>
      <c r="S72" s="39"/>
      <c r="T72" s="39"/>
      <c r="U72" s="39"/>
      <c r="V72" s="42"/>
      <c r="W72" s="42"/>
      <c r="X72" s="75"/>
      <c r="Y72" s="75">
        <v>0</v>
      </c>
      <c r="Z72" s="75">
        <v>1</v>
      </c>
      <c r="AA72" s="75">
        <v>0</v>
      </c>
      <c r="AB72" s="75">
        <v>1</v>
      </c>
      <c r="AC72" s="75">
        <v>0</v>
      </c>
      <c r="AD72" s="75">
        <v>1</v>
      </c>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row>
    <row r="73" spans="1:56" s="11" customFormat="1" ht="15">
      <c r="A73" s="407"/>
      <c r="B73" s="63" t="s">
        <v>342</v>
      </c>
      <c r="C73" s="63"/>
      <c r="D73" s="33">
        <f>D45+D46+D47+D48+D49+D50+D51+D52+D53+D54+D55+D56+D57+D58+D59+D60+D61+D62+D63+D64+D65+D66+D67+D68+D69+D70+D71+D72</f>
        <v>20266490</v>
      </c>
      <c r="E73" s="33">
        <f>SUM(E45:E72)</f>
        <v>14944702</v>
      </c>
      <c r="F73" s="33">
        <f aca="true" t="shared" si="21" ref="F73:W73">F45+F46+F47+F48+F49+F50+F51+F52+F53+F54+F55+F56+F57+F58+F59+F60+F61+F62+F63+F64+F65+F66+F67+F68+F69+F70+F71+F72</f>
        <v>0</v>
      </c>
      <c r="G73" s="33">
        <f t="shared" si="21"/>
        <v>420000</v>
      </c>
      <c r="H73" s="33">
        <f t="shared" si="21"/>
        <v>35631192</v>
      </c>
      <c r="I73" s="33">
        <f t="shared" si="21"/>
        <v>0</v>
      </c>
      <c r="J73" s="33">
        <f t="shared" si="21"/>
        <v>12508000</v>
      </c>
      <c r="K73" s="33">
        <f t="shared" si="21"/>
        <v>0</v>
      </c>
      <c r="L73" s="33">
        <f t="shared" si="21"/>
        <v>0</v>
      </c>
      <c r="M73" s="33">
        <f t="shared" si="21"/>
        <v>12508000</v>
      </c>
      <c r="N73" s="33">
        <f t="shared" si="21"/>
        <v>4000000</v>
      </c>
      <c r="O73" s="33">
        <v>13082320</v>
      </c>
      <c r="P73" s="33">
        <f t="shared" si="21"/>
        <v>0</v>
      </c>
      <c r="Q73" s="33">
        <f t="shared" si="21"/>
        <v>0</v>
      </c>
      <c r="R73" s="33">
        <f>N73+O73</f>
        <v>17082320</v>
      </c>
      <c r="S73" s="33">
        <f t="shared" si="21"/>
        <v>0</v>
      </c>
      <c r="T73" s="33">
        <f t="shared" si="21"/>
        <v>13528652.8</v>
      </c>
      <c r="U73" s="33">
        <f t="shared" si="21"/>
        <v>0</v>
      </c>
      <c r="V73" s="33">
        <f t="shared" si="21"/>
        <v>0</v>
      </c>
      <c r="W73" s="33">
        <f t="shared" si="21"/>
        <v>13528652.8</v>
      </c>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row>
    <row r="74" spans="1:56" s="10" customFormat="1" ht="15">
      <c r="A74" s="394" t="s">
        <v>61</v>
      </c>
      <c r="B74" s="395"/>
      <c r="C74" s="65"/>
      <c r="D74" s="51">
        <v>23400000</v>
      </c>
      <c r="E74" s="51">
        <v>70376419</v>
      </c>
      <c r="F74" s="51">
        <f>SUM(F75:F122)</f>
        <v>0</v>
      </c>
      <c r="G74" s="51">
        <v>100500000</v>
      </c>
      <c r="H74" s="51">
        <f>D74+E74+F74+G74</f>
        <v>194276419</v>
      </c>
      <c r="I74" s="58">
        <v>30103698</v>
      </c>
      <c r="J74" s="51">
        <v>107144555</v>
      </c>
      <c r="K74" s="51">
        <f>SUM(K75:K122)</f>
        <v>0</v>
      </c>
      <c r="L74" s="51">
        <v>85000000</v>
      </c>
      <c r="M74" s="51">
        <f>I74+J74+K74+L74</f>
        <v>222248253</v>
      </c>
      <c r="N74" s="51">
        <v>19000000</v>
      </c>
      <c r="O74" s="51">
        <v>111430297</v>
      </c>
      <c r="P74" s="51">
        <v>0</v>
      </c>
      <c r="Q74" s="51">
        <v>46800000</v>
      </c>
      <c r="R74" s="51">
        <f>N74+O74+P74+Q74</f>
        <v>177230297</v>
      </c>
      <c r="S74" s="51">
        <v>35200000</v>
      </c>
      <c r="T74" s="51">
        <v>115887551</v>
      </c>
      <c r="U74" s="51"/>
      <c r="V74" s="51">
        <v>48672000</v>
      </c>
      <c r="W74" s="51">
        <f>S74+T74+U74+V74</f>
        <v>199759551</v>
      </c>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row>
    <row r="75" spans="1:56" s="41" customFormat="1" ht="168" customHeight="1">
      <c r="A75" s="406" t="s">
        <v>125</v>
      </c>
      <c r="B75" s="43" t="s">
        <v>271</v>
      </c>
      <c r="C75" s="43"/>
      <c r="D75" s="39"/>
      <c r="E75" s="39">
        <f>7500000+16456757+89662</f>
        <v>24046419</v>
      </c>
      <c r="F75" s="39"/>
      <c r="G75" s="39"/>
      <c r="H75" s="40">
        <f t="shared" si="19"/>
        <v>24046419</v>
      </c>
      <c r="I75" s="39"/>
      <c r="J75" s="39"/>
      <c r="K75" s="39"/>
      <c r="L75" s="39"/>
      <c r="M75" s="39">
        <f aca="true" t="shared" si="22" ref="M75:M122">SUM(I75:L75)</f>
        <v>0</v>
      </c>
      <c r="N75" s="39">
        <f aca="true" t="shared" si="23" ref="N75:N122">+I75*4%+I75</f>
        <v>0</v>
      </c>
      <c r="O75" s="39">
        <f aca="true" t="shared" si="24" ref="O75:O122">+J75*4%+J75</f>
        <v>0</v>
      </c>
      <c r="P75" s="39">
        <f aca="true" t="shared" si="25" ref="P75:P122">+K75*4%+K75</f>
        <v>0</v>
      </c>
      <c r="Q75" s="39"/>
      <c r="R75" s="39">
        <f t="shared" si="6"/>
        <v>0</v>
      </c>
      <c r="S75" s="39">
        <f aca="true" t="shared" si="26" ref="S75:S122">+N75*4%+N75</f>
        <v>0</v>
      </c>
      <c r="T75" s="39">
        <f aca="true" t="shared" si="27" ref="T75:T122">+O75*4%+O75</f>
        <v>0</v>
      </c>
      <c r="U75" s="39">
        <f aca="true" t="shared" si="28" ref="U75:U122">+P75*4%+P75</f>
        <v>0</v>
      </c>
      <c r="V75" s="39">
        <f aca="true" t="shared" si="29" ref="V75:V122">+Q75*4%+Q75</f>
        <v>0</v>
      </c>
      <c r="W75" s="39">
        <f t="shared" si="11"/>
        <v>0</v>
      </c>
      <c r="X75" s="75"/>
      <c r="Y75" s="75">
        <v>0</v>
      </c>
      <c r="Z75" s="75">
        <v>100</v>
      </c>
      <c r="AA75" s="75">
        <v>30</v>
      </c>
      <c r="AB75" s="75">
        <v>20</v>
      </c>
      <c r="AC75" s="75">
        <v>20</v>
      </c>
      <c r="AD75" s="75">
        <v>30</v>
      </c>
      <c r="AE75" s="75"/>
      <c r="AF75" s="75"/>
      <c r="AG75" s="75"/>
      <c r="AH75" s="75"/>
      <c r="AI75" s="75"/>
      <c r="AJ75" s="75"/>
      <c r="AK75" s="75"/>
      <c r="AL75" s="75"/>
      <c r="AM75" s="75"/>
      <c r="AN75" s="75"/>
      <c r="AO75" s="75"/>
      <c r="AP75" s="75"/>
      <c r="AQ75" s="75"/>
      <c r="AR75" s="75"/>
      <c r="AS75" s="75"/>
      <c r="AT75" s="75"/>
      <c r="AU75" s="75"/>
      <c r="AV75" s="75"/>
      <c r="AW75" s="75"/>
      <c r="AX75" s="75"/>
      <c r="AY75" s="75"/>
      <c r="AZ75" s="75"/>
      <c r="BA75" s="91"/>
      <c r="BB75" s="75"/>
      <c r="BC75" s="75"/>
      <c r="BD75" s="75"/>
    </row>
    <row r="76" spans="1:56" s="41" customFormat="1" ht="51.75" customHeight="1">
      <c r="A76" s="408"/>
      <c r="B76" s="38" t="s">
        <v>119</v>
      </c>
      <c r="C76" s="38"/>
      <c r="D76" s="39"/>
      <c r="E76" s="39">
        <v>3900000</v>
      </c>
      <c r="F76" s="39"/>
      <c r="G76" s="39"/>
      <c r="H76" s="40">
        <f t="shared" si="19"/>
        <v>3900000</v>
      </c>
      <c r="I76" s="39"/>
      <c r="J76" s="39">
        <v>4056000</v>
      </c>
      <c r="K76" s="39"/>
      <c r="L76" s="39"/>
      <c r="M76" s="39">
        <f t="shared" si="22"/>
        <v>4056000</v>
      </c>
      <c r="N76" s="39">
        <f t="shared" si="23"/>
        <v>0</v>
      </c>
      <c r="O76" s="39">
        <f t="shared" si="24"/>
        <v>4218240</v>
      </c>
      <c r="P76" s="39">
        <f t="shared" si="25"/>
        <v>0</v>
      </c>
      <c r="Q76" s="39">
        <f aca="true" t="shared" si="30" ref="Q76:Q122">+L76*4%+L76</f>
        <v>0</v>
      </c>
      <c r="R76" s="39">
        <f t="shared" si="6"/>
        <v>4218240</v>
      </c>
      <c r="S76" s="39">
        <f t="shared" si="26"/>
        <v>0</v>
      </c>
      <c r="T76" s="39">
        <f t="shared" si="27"/>
        <v>4386969.6</v>
      </c>
      <c r="U76" s="39">
        <f t="shared" si="28"/>
        <v>0</v>
      </c>
      <c r="V76" s="39">
        <f t="shared" si="29"/>
        <v>0</v>
      </c>
      <c r="W76" s="39">
        <f t="shared" si="11"/>
        <v>4386969.6</v>
      </c>
      <c r="X76" s="75"/>
      <c r="Y76" s="75">
        <v>0</v>
      </c>
      <c r="Z76" s="75">
        <v>1</v>
      </c>
      <c r="AA76" s="75">
        <v>25</v>
      </c>
      <c r="AB76" s="75">
        <v>25</v>
      </c>
      <c r="AC76" s="75">
        <v>25</v>
      </c>
      <c r="AD76" s="75">
        <v>25</v>
      </c>
      <c r="AE76" s="75"/>
      <c r="AF76" s="75"/>
      <c r="AG76" s="75"/>
      <c r="AH76" s="75"/>
      <c r="AI76" s="75"/>
      <c r="AJ76" s="75"/>
      <c r="AK76" s="75"/>
      <c r="AL76" s="75"/>
      <c r="AM76" s="75"/>
      <c r="AN76" s="75"/>
      <c r="AO76" s="75"/>
      <c r="AP76" s="75"/>
      <c r="AQ76" s="75"/>
      <c r="AR76" s="75"/>
      <c r="AS76" s="75"/>
      <c r="AT76" s="75"/>
      <c r="AU76" s="75"/>
      <c r="AV76" s="75"/>
      <c r="AW76" s="75"/>
      <c r="AX76" s="75"/>
      <c r="AY76" s="75"/>
      <c r="AZ76" s="75"/>
      <c r="BA76" s="91"/>
      <c r="BB76" s="75"/>
      <c r="BC76" s="75"/>
      <c r="BD76" s="75"/>
    </row>
    <row r="77" spans="1:56" s="41" customFormat="1" ht="33" customHeight="1">
      <c r="A77" s="408"/>
      <c r="B77" s="38" t="s">
        <v>272</v>
      </c>
      <c r="C77" s="38"/>
      <c r="D77" s="39">
        <v>0</v>
      </c>
      <c r="E77" s="39"/>
      <c r="F77" s="39"/>
      <c r="G77" s="39">
        <v>10000000</v>
      </c>
      <c r="H77" s="40">
        <f t="shared" si="19"/>
        <v>10000000</v>
      </c>
      <c r="I77" s="39"/>
      <c r="J77" s="39">
        <v>2000000</v>
      </c>
      <c r="K77" s="39"/>
      <c r="L77" s="39"/>
      <c r="M77" s="39">
        <f t="shared" si="22"/>
        <v>2000000</v>
      </c>
      <c r="N77" s="39">
        <f t="shared" si="23"/>
        <v>0</v>
      </c>
      <c r="O77" s="39">
        <f t="shared" si="24"/>
        <v>2080000</v>
      </c>
      <c r="P77" s="39">
        <f t="shared" si="25"/>
        <v>0</v>
      </c>
      <c r="Q77" s="39">
        <f t="shared" si="30"/>
        <v>0</v>
      </c>
      <c r="R77" s="39">
        <f t="shared" si="6"/>
        <v>2080000</v>
      </c>
      <c r="S77" s="39">
        <f t="shared" si="26"/>
        <v>0</v>
      </c>
      <c r="T77" s="39">
        <f t="shared" si="27"/>
        <v>2163200</v>
      </c>
      <c r="U77" s="39">
        <f t="shared" si="28"/>
        <v>0</v>
      </c>
      <c r="V77" s="39">
        <f t="shared" si="29"/>
        <v>0</v>
      </c>
      <c r="W77" s="39">
        <f t="shared" si="11"/>
        <v>2163200</v>
      </c>
      <c r="X77" s="75"/>
      <c r="Y77" s="75">
        <v>0</v>
      </c>
      <c r="Z77" s="75">
        <v>4</v>
      </c>
      <c r="AA77" s="75">
        <v>1</v>
      </c>
      <c r="AB77" s="75">
        <v>1</v>
      </c>
      <c r="AC77" s="75">
        <v>1</v>
      </c>
      <c r="AD77" s="75">
        <v>1</v>
      </c>
      <c r="AE77" s="75"/>
      <c r="AF77" s="75"/>
      <c r="AG77" s="75"/>
      <c r="AH77" s="75"/>
      <c r="AI77" s="75"/>
      <c r="AJ77" s="75"/>
      <c r="AK77" s="75"/>
      <c r="AL77" s="75"/>
      <c r="AM77" s="75"/>
      <c r="AN77" s="75"/>
      <c r="AO77" s="75"/>
      <c r="AP77" s="75"/>
      <c r="AQ77" s="75"/>
      <c r="AR77" s="75"/>
      <c r="AS77" s="75"/>
      <c r="AT77" s="75"/>
      <c r="AU77" s="75"/>
      <c r="AV77" s="75"/>
      <c r="AW77" s="75"/>
      <c r="AX77" s="75"/>
      <c r="AY77" s="75"/>
      <c r="AZ77" s="75"/>
      <c r="BA77" s="91"/>
      <c r="BB77" s="75"/>
      <c r="BC77" s="75"/>
      <c r="BD77" s="75"/>
    </row>
    <row r="78" spans="1:56" s="41" customFormat="1" ht="50.25" customHeight="1">
      <c r="A78" s="408"/>
      <c r="B78" s="38" t="s">
        <v>120</v>
      </c>
      <c r="C78" s="38"/>
      <c r="D78" s="39">
        <v>0</v>
      </c>
      <c r="E78" s="39"/>
      <c r="F78" s="39"/>
      <c r="G78" s="39">
        <v>500000</v>
      </c>
      <c r="H78" s="40">
        <f t="shared" si="19"/>
        <v>500000</v>
      </c>
      <c r="I78" s="39"/>
      <c r="J78" s="39">
        <v>3500000</v>
      </c>
      <c r="K78" s="39"/>
      <c r="L78" s="39"/>
      <c r="M78" s="39">
        <f t="shared" si="22"/>
        <v>3500000</v>
      </c>
      <c r="N78" s="39">
        <f t="shared" si="23"/>
        <v>0</v>
      </c>
      <c r="O78" s="39">
        <f t="shared" si="24"/>
        <v>3640000</v>
      </c>
      <c r="P78" s="39">
        <f t="shared" si="25"/>
        <v>0</v>
      </c>
      <c r="Q78" s="39">
        <f t="shared" si="30"/>
        <v>0</v>
      </c>
      <c r="R78" s="39">
        <f t="shared" si="6"/>
        <v>3640000</v>
      </c>
      <c r="S78" s="39">
        <f t="shared" si="26"/>
        <v>0</v>
      </c>
      <c r="T78" s="39">
        <f t="shared" si="27"/>
        <v>3785600</v>
      </c>
      <c r="U78" s="39">
        <f t="shared" si="28"/>
        <v>0</v>
      </c>
      <c r="V78" s="39">
        <f t="shared" si="29"/>
        <v>0</v>
      </c>
      <c r="W78" s="39">
        <f t="shared" si="11"/>
        <v>3785600</v>
      </c>
      <c r="X78" s="75"/>
      <c r="Y78" s="75">
        <v>0</v>
      </c>
      <c r="Z78" s="75">
        <v>4</v>
      </c>
      <c r="AA78" s="75">
        <v>1</v>
      </c>
      <c r="AB78" s="75">
        <v>1</v>
      </c>
      <c r="AC78" s="75">
        <v>1</v>
      </c>
      <c r="AD78" s="75">
        <v>1</v>
      </c>
      <c r="AE78" s="75"/>
      <c r="AF78" s="75"/>
      <c r="AG78" s="75"/>
      <c r="AH78" s="75"/>
      <c r="AI78" s="75"/>
      <c r="AJ78" s="75"/>
      <c r="AK78" s="75"/>
      <c r="AL78" s="75"/>
      <c r="AM78" s="75"/>
      <c r="AN78" s="75"/>
      <c r="AO78" s="75"/>
      <c r="AP78" s="75"/>
      <c r="AQ78" s="75"/>
      <c r="AR78" s="75"/>
      <c r="AS78" s="75"/>
      <c r="AT78" s="75"/>
      <c r="AU78" s="75"/>
      <c r="AV78" s="75"/>
      <c r="AW78" s="75"/>
      <c r="AX78" s="75"/>
      <c r="AY78" s="75"/>
      <c r="AZ78" s="75"/>
      <c r="BA78" s="91"/>
      <c r="BB78" s="75"/>
      <c r="BC78" s="75"/>
      <c r="BD78" s="75"/>
    </row>
    <row r="79" spans="1:56" s="41" customFormat="1" ht="38.25" customHeight="1">
      <c r="A79" s="408"/>
      <c r="B79" s="38" t="s">
        <v>121</v>
      </c>
      <c r="C79" s="38"/>
      <c r="D79" s="39">
        <v>1000000</v>
      </c>
      <c r="E79" s="39"/>
      <c r="F79" s="39"/>
      <c r="G79" s="39"/>
      <c r="H79" s="40">
        <f t="shared" si="19"/>
        <v>1000000</v>
      </c>
      <c r="I79" s="39"/>
      <c r="J79" s="39">
        <v>3000000</v>
      </c>
      <c r="K79" s="39"/>
      <c r="L79" s="39">
        <v>0</v>
      </c>
      <c r="M79" s="39">
        <f t="shared" si="22"/>
        <v>3000000</v>
      </c>
      <c r="N79" s="39">
        <f t="shared" si="23"/>
        <v>0</v>
      </c>
      <c r="O79" s="39">
        <f t="shared" si="24"/>
        <v>3120000</v>
      </c>
      <c r="P79" s="39">
        <f t="shared" si="25"/>
        <v>0</v>
      </c>
      <c r="Q79" s="39">
        <f t="shared" si="30"/>
        <v>0</v>
      </c>
      <c r="R79" s="39">
        <f t="shared" si="6"/>
        <v>3120000</v>
      </c>
      <c r="S79" s="39">
        <f t="shared" si="26"/>
        <v>0</v>
      </c>
      <c r="T79" s="39">
        <f t="shared" si="27"/>
        <v>3244800</v>
      </c>
      <c r="U79" s="39">
        <f t="shared" si="28"/>
        <v>0</v>
      </c>
      <c r="V79" s="39">
        <f t="shared" si="29"/>
        <v>0</v>
      </c>
      <c r="W79" s="39">
        <f t="shared" si="11"/>
        <v>3244800</v>
      </c>
      <c r="X79" s="75"/>
      <c r="Y79" s="75">
        <v>0</v>
      </c>
      <c r="Z79" s="75">
        <v>4</v>
      </c>
      <c r="AA79" s="75">
        <v>1</v>
      </c>
      <c r="AB79" s="75">
        <v>1</v>
      </c>
      <c r="AC79" s="75">
        <v>1</v>
      </c>
      <c r="AD79" s="75">
        <v>1</v>
      </c>
      <c r="AE79" s="75"/>
      <c r="AF79" s="75"/>
      <c r="AG79" s="75"/>
      <c r="AH79" s="75"/>
      <c r="AI79" s="75"/>
      <c r="AJ79" s="75"/>
      <c r="AK79" s="75"/>
      <c r="AL79" s="75"/>
      <c r="AM79" s="75"/>
      <c r="AN79" s="75"/>
      <c r="AO79" s="75"/>
      <c r="AP79" s="75"/>
      <c r="AQ79" s="75"/>
      <c r="AR79" s="75"/>
      <c r="AS79" s="75"/>
      <c r="AT79" s="75"/>
      <c r="AU79" s="75"/>
      <c r="AV79" s="75"/>
      <c r="AW79" s="75"/>
      <c r="AX79" s="75"/>
      <c r="AY79" s="75"/>
      <c r="AZ79" s="75"/>
      <c r="BA79" s="91"/>
      <c r="BB79" s="75"/>
      <c r="BC79" s="75"/>
      <c r="BD79" s="75"/>
    </row>
    <row r="80" spans="1:56" s="41" customFormat="1" ht="38.25" customHeight="1">
      <c r="A80" s="408"/>
      <c r="B80" s="43" t="s">
        <v>328</v>
      </c>
      <c r="C80" s="43"/>
      <c r="D80" s="39"/>
      <c r="E80" s="39"/>
      <c r="F80" s="39"/>
      <c r="G80" s="39"/>
      <c r="H80" s="40"/>
      <c r="I80" s="39"/>
      <c r="J80" s="39"/>
      <c r="K80" s="39"/>
      <c r="L80" s="39"/>
      <c r="M80" s="39"/>
      <c r="N80" s="39"/>
      <c r="O80" s="39"/>
      <c r="P80" s="39"/>
      <c r="Q80" s="39"/>
      <c r="R80" s="39"/>
      <c r="S80" s="39"/>
      <c r="T80" s="39"/>
      <c r="U80" s="39"/>
      <c r="V80" s="39"/>
      <c r="W80" s="39"/>
      <c r="X80" s="75"/>
      <c r="Y80" s="86">
        <v>0</v>
      </c>
      <c r="Z80" s="86">
        <v>1</v>
      </c>
      <c r="AA80" s="86">
        <v>0.25</v>
      </c>
      <c r="AB80" s="86">
        <v>0.25</v>
      </c>
      <c r="AC80" s="86">
        <v>0.25</v>
      </c>
      <c r="AD80" s="86">
        <v>0.25</v>
      </c>
      <c r="AE80" s="75"/>
      <c r="AF80" s="75"/>
      <c r="AG80" s="75"/>
      <c r="AH80" s="75"/>
      <c r="AI80" s="75"/>
      <c r="AJ80" s="75"/>
      <c r="AK80" s="75"/>
      <c r="AL80" s="75"/>
      <c r="AM80" s="75"/>
      <c r="AN80" s="75"/>
      <c r="AO80" s="75"/>
      <c r="AP80" s="75"/>
      <c r="AQ80" s="75"/>
      <c r="AR80" s="75"/>
      <c r="AS80" s="75"/>
      <c r="AT80" s="75"/>
      <c r="AU80" s="75"/>
      <c r="AV80" s="75"/>
      <c r="AW80" s="75"/>
      <c r="AX80" s="75"/>
      <c r="AY80" s="75"/>
      <c r="AZ80" s="75"/>
      <c r="BA80" s="75" t="s">
        <v>375</v>
      </c>
      <c r="BB80" s="75"/>
      <c r="BC80" s="75"/>
      <c r="BD80" s="75"/>
    </row>
    <row r="81" spans="1:56" s="41" customFormat="1" ht="57" customHeight="1">
      <c r="A81" s="408"/>
      <c r="B81" s="43" t="s">
        <v>329</v>
      </c>
      <c r="C81" s="43"/>
      <c r="D81" s="39"/>
      <c r="E81" s="39"/>
      <c r="F81" s="39"/>
      <c r="G81" s="39"/>
      <c r="H81" s="40"/>
      <c r="I81" s="39"/>
      <c r="J81" s="39"/>
      <c r="K81" s="39"/>
      <c r="L81" s="39"/>
      <c r="M81" s="39"/>
      <c r="N81" s="39"/>
      <c r="O81" s="39"/>
      <c r="P81" s="39"/>
      <c r="Q81" s="39"/>
      <c r="R81" s="39"/>
      <c r="S81" s="39"/>
      <c r="T81" s="39"/>
      <c r="U81" s="39"/>
      <c r="V81" s="39"/>
      <c r="W81" s="39"/>
      <c r="X81" s="75"/>
      <c r="Y81" s="86">
        <v>0</v>
      </c>
      <c r="Z81" s="86">
        <v>1</v>
      </c>
      <c r="AA81" s="86">
        <v>0.25</v>
      </c>
      <c r="AB81" s="86">
        <v>0.25</v>
      </c>
      <c r="AC81" s="86">
        <v>0.25</v>
      </c>
      <c r="AD81" s="86">
        <v>0.25</v>
      </c>
      <c r="AE81" s="75"/>
      <c r="AF81" s="75"/>
      <c r="AG81" s="75"/>
      <c r="AH81" s="75"/>
      <c r="AI81" s="75"/>
      <c r="AJ81" s="75"/>
      <c r="AK81" s="75"/>
      <c r="AL81" s="75"/>
      <c r="AM81" s="75"/>
      <c r="AN81" s="75"/>
      <c r="AO81" s="75"/>
      <c r="AP81" s="75"/>
      <c r="AQ81" s="75"/>
      <c r="AR81" s="75"/>
      <c r="AS81" s="75"/>
      <c r="AT81" s="75"/>
      <c r="AU81" s="75"/>
      <c r="AV81" s="75"/>
      <c r="AW81" s="75"/>
      <c r="AX81" s="75"/>
      <c r="AY81" s="75"/>
      <c r="AZ81" s="75"/>
      <c r="BA81" s="75" t="s">
        <v>375</v>
      </c>
      <c r="BB81" s="75"/>
      <c r="BC81" s="75"/>
      <c r="BD81" s="75"/>
    </row>
    <row r="82" spans="1:56" s="41" customFormat="1" ht="87.75" customHeight="1">
      <c r="A82" s="408"/>
      <c r="B82" s="43" t="s">
        <v>330</v>
      </c>
      <c r="C82" s="43"/>
      <c r="D82" s="39">
        <v>200000</v>
      </c>
      <c r="E82" s="39"/>
      <c r="F82" s="39"/>
      <c r="G82" s="39"/>
      <c r="H82" s="40">
        <f t="shared" si="19"/>
        <v>200000</v>
      </c>
      <c r="I82" s="39"/>
      <c r="J82" s="39"/>
      <c r="K82" s="39"/>
      <c r="L82" s="39"/>
      <c r="M82" s="39"/>
      <c r="N82" s="39">
        <v>1000000</v>
      </c>
      <c r="O82" s="39"/>
      <c r="P82" s="39"/>
      <c r="Q82" s="39"/>
      <c r="R82" s="39"/>
      <c r="S82" s="39"/>
      <c r="T82" s="39"/>
      <c r="U82" s="39"/>
      <c r="V82" s="39"/>
      <c r="W82" s="39"/>
      <c r="X82" s="75"/>
      <c r="Y82" s="75">
        <v>0</v>
      </c>
      <c r="Z82" s="75">
        <v>1</v>
      </c>
      <c r="AA82" s="75">
        <v>25</v>
      </c>
      <c r="AB82" s="75">
        <v>25</v>
      </c>
      <c r="AC82" s="75">
        <v>25</v>
      </c>
      <c r="AD82" s="75">
        <v>25</v>
      </c>
      <c r="AE82" s="75"/>
      <c r="AF82" s="75"/>
      <c r="AG82" s="75"/>
      <c r="AH82" s="75"/>
      <c r="AI82" s="75"/>
      <c r="AJ82" s="75"/>
      <c r="AK82" s="75"/>
      <c r="AL82" s="75"/>
      <c r="AM82" s="75"/>
      <c r="AN82" s="75"/>
      <c r="AO82" s="75"/>
      <c r="AP82" s="75"/>
      <c r="AQ82" s="75"/>
      <c r="AR82" s="75"/>
      <c r="AS82" s="75"/>
      <c r="AT82" s="75"/>
      <c r="AU82" s="75"/>
      <c r="AV82" s="75"/>
      <c r="AW82" s="75"/>
      <c r="AX82" s="75"/>
      <c r="AY82" s="75"/>
      <c r="AZ82" s="75"/>
      <c r="BA82" s="91"/>
      <c r="BB82" s="75"/>
      <c r="BC82" s="75"/>
      <c r="BD82" s="75"/>
    </row>
    <row r="83" spans="1:56" s="41" customFormat="1" ht="51" customHeight="1">
      <c r="A83" s="408"/>
      <c r="B83" s="43" t="s">
        <v>331</v>
      </c>
      <c r="C83" s="43"/>
      <c r="D83" s="39">
        <v>1000000</v>
      </c>
      <c r="E83" s="39"/>
      <c r="F83" s="39"/>
      <c r="G83" s="39"/>
      <c r="H83" s="40">
        <f t="shared" si="19"/>
        <v>1000000</v>
      </c>
      <c r="I83" s="39"/>
      <c r="J83" s="39"/>
      <c r="K83" s="39"/>
      <c r="L83" s="39"/>
      <c r="M83" s="39"/>
      <c r="N83" s="39">
        <v>3000000</v>
      </c>
      <c r="O83" s="39"/>
      <c r="P83" s="39"/>
      <c r="Q83" s="39"/>
      <c r="R83" s="39"/>
      <c r="S83" s="39"/>
      <c r="T83" s="39"/>
      <c r="U83" s="39"/>
      <c r="V83" s="39"/>
      <c r="W83" s="39"/>
      <c r="X83" s="75"/>
      <c r="Y83" s="75">
        <v>0</v>
      </c>
      <c r="Z83" s="75">
        <v>300</v>
      </c>
      <c r="AA83" s="75">
        <v>50</v>
      </c>
      <c r="AB83" s="75">
        <v>100</v>
      </c>
      <c r="AC83" s="75">
        <v>100</v>
      </c>
      <c r="AD83" s="75">
        <v>50</v>
      </c>
      <c r="AE83" s="75"/>
      <c r="AF83" s="75"/>
      <c r="AG83" s="75"/>
      <c r="AH83" s="75"/>
      <c r="AI83" s="75"/>
      <c r="AJ83" s="75"/>
      <c r="AK83" s="75"/>
      <c r="AL83" s="75"/>
      <c r="AM83" s="75"/>
      <c r="AN83" s="75"/>
      <c r="AO83" s="75"/>
      <c r="AP83" s="75"/>
      <c r="AQ83" s="75"/>
      <c r="AR83" s="75"/>
      <c r="AS83" s="75"/>
      <c r="AT83" s="75"/>
      <c r="AU83" s="75"/>
      <c r="AV83" s="75"/>
      <c r="AW83" s="75"/>
      <c r="AX83" s="75"/>
      <c r="AY83" s="75"/>
      <c r="AZ83" s="75"/>
      <c r="BA83" s="91"/>
      <c r="BB83" s="75"/>
      <c r="BC83" s="75"/>
      <c r="BD83" s="75"/>
    </row>
    <row r="84" spans="1:56" s="41" customFormat="1" ht="73.5" customHeight="1">
      <c r="A84" s="408"/>
      <c r="B84" s="43" t="s">
        <v>332</v>
      </c>
      <c r="C84" s="43"/>
      <c r="D84" s="39">
        <v>200000</v>
      </c>
      <c r="E84" s="39"/>
      <c r="F84" s="39"/>
      <c r="G84" s="39"/>
      <c r="H84" s="40">
        <f t="shared" si="19"/>
        <v>200000</v>
      </c>
      <c r="I84" s="39"/>
      <c r="J84" s="39"/>
      <c r="K84" s="39"/>
      <c r="L84" s="39"/>
      <c r="M84" s="39"/>
      <c r="N84" s="39"/>
      <c r="O84" s="39"/>
      <c r="P84" s="39"/>
      <c r="Q84" s="39"/>
      <c r="R84" s="39"/>
      <c r="S84" s="39"/>
      <c r="T84" s="39"/>
      <c r="U84" s="39"/>
      <c r="V84" s="39"/>
      <c r="W84" s="39"/>
      <c r="X84" s="75"/>
      <c r="Y84" s="75">
        <v>0</v>
      </c>
      <c r="Z84" s="86">
        <v>1</v>
      </c>
      <c r="AA84" s="86">
        <v>0.25</v>
      </c>
      <c r="AB84" s="86">
        <v>0.25</v>
      </c>
      <c r="AC84" s="86">
        <v>0.25</v>
      </c>
      <c r="AD84" s="86">
        <v>0.25</v>
      </c>
      <c r="AE84" s="75"/>
      <c r="AF84" s="75"/>
      <c r="AG84" s="75"/>
      <c r="AH84" s="75"/>
      <c r="AI84" s="75"/>
      <c r="AJ84" s="75"/>
      <c r="AK84" s="75"/>
      <c r="AL84" s="75"/>
      <c r="AM84" s="75"/>
      <c r="AN84" s="75"/>
      <c r="AO84" s="75"/>
      <c r="AP84" s="75"/>
      <c r="AQ84" s="75"/>
      <c r="AR84" s="75"/>
      <c r="AS84" s="75"/>
      <c r="AT84" s="75"/>
      <c r="AU84" s="75"/>
      <c r="AV84" s="75"/>
      <c r="AW84" s="75"/>
      <c r="AX84" s="75"/>
      <c r="AY84" s="75"/>
      <c r="AZ84" s="75"/>
      <c r="BA84" s="91"/>
      <c r="BB84" s="75"/>
      <c r="BC84" s="75"/>
      <c r="BD84" s="75"/>
    </row>
    <row r="85" spans="1:56" s="11" customFormat="1" ht="15">
      <c r="A85" s="407"/>
      <c r="B85" s="44" t="s">
        <v>342</v>
      </c>
      <c r="C85" s="44"/>
      <c r="D85" s="33">
        <f>SUM(D75:D84)</f>
        <v>2400000</v>
      </c>
      <c r="E85" s="33">
        <f aca="true" t="shared" si="31" ref="E85:W85">SUM(E75:E84)</f>
        <v>27946419</v>
      </c>
      <c r="F85" s="33">
        <f t="shared" si="31"/>
        <v>0</v>
      </c>
      <c r="G85" s="33">
        <f t="shared" si="31"/>
        <v>10500000</v>
      </c>
      <c r="H85" s="33">
        <f t="shared" si="31"/>
        <v>40846419</v>
      </c>
      <c r="I85" s="33">
        <f t="shared" si="31"/>
        <v>0</v>
      </c>
      <c r="J85" s="33">
        <f t="shared" si="31"/>
        <v>12556000</v>
      </c>
      <c r="K85" s="33">
        <f t="shared" si="31"/>
        <v>0</v>
      </c>
      <c r="L85" s="33">
        <f t="shared" si="31"/>
        <v>0</v>
      </c>
      <c r="M85" s="33">
        <f t="shared" si="31"/>
        <v>12556000</v>
      </c>
      <c r="N85" s="33">
        <f t="shared" si="31"/>
        <v>4000000</v>
      </c>
      <c r="O85" s="33">
        <f t="shared" si="31"/>
        <v>13058240</v>
      </c>
      <c r="P85" s="33">
        <f t="shared" si="31"/>
        <v>0</v>
      </c>
      <c r="Q85" s="33">
        <f t="shared" si="31"/>
        <v>0</v>
      </c>
      <c r="R85" s="33">
        <f>N85+O85</f>
        <v>17058240</v>
      </c>
      <c r="S85" s="33">
        <f t="shared" si="31"/>
        <v>0</v>
      </c>
      <c r="T85" s="33">
        <f t="shared" si="31"/>
        <v>13580569.6</v>
      </c>
      <c r="U85" s="33">
        <f t="shared" si="31"/>
        <v>0</v>
      </c>
      <c r="V85" s="33">
        <f t="shared" si="31"/>
        <v>0</v>
      </c>
      <c r="W85" s="33">
        <f t="shared" si="31"/>
        <v>13580569.6</v>
      </c>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row>
    <row r="86" spans="1:56" s="11" customFormat="1" ht="35.25" customHeight="1">
      <c r="A86" s="406" t="s">
        <v>62</v>
      </c>
      <c r="B86" s="45" t="s">
        <v>122</v>
      </c>
      <c r="C86" s="45"/>
      <c r="D86" s="39">
        <v>0</v>
      </c>
      <c r="E86" s="39"/>
      <c r="F86" s="39"/>
      <c r="G86" s="39"/>
      <c r="H86" s="40">
        <f t="shared" si="19"/>
        <v>0</v>
      </c>
      <c r="I86" s="39"/>
      <c r="J86" s="39">
        <v>1500000</v>
      </c>
      <c r="K86" s="39"/>
      <c r="L86" s="39"/>
      <c r="M86" s="39">
        <f t="shared" si="22"/>
        <v>1500000</v>
      </c>
      <c r="N86" s="39">
        <f t="shared" si="23"/>
        <v>0</v>
      </c>
      <c r="O86" s="39">
        <f t="shared" si="24"/>
        <v>1560000</v>
      </c>
      <c r="P86" s="39">
        <f t="shared" si="25"/>
        <v>0</v>
      </c>
      <c r="Q86" s="39">
        <f t="shared" si="30"/>
        <v>0</v>
      </c>
      <c r="R86" s="39">
        <f t="shared" si="6"/>
        <v>1560000</v>
      </c>
      <c r="S86" s="39">
        <f t="shared" si="26"/>
        <v>0</v>
      </c>
      <c r="T86" s="39">
        <f t="shared" si="27"/>
        <v>1622400</v>
      </c>
      <c r="U86" s="39">
        <f t="shared" si="28"/>
        <v>0</v>
      </c>
      <c r="V86" s="39">
        <f t="shared" si="29"/>
        <v>0</v>
      </c>
      <c r="W86" s="39">
        <f t="shared" si="11"/>
        <v>1622400</v>
      </c>
      <c r="X86" s="76"/>
      <c r="Y86" s="76">
        <v>0</v>
      </c>
      <c r="Z86" s="76">
        <v>4</v>
      </c>
      <c r="AA86" s="76">
        <v>4</v>
      </c>
      <c r="AB86" s="76">
        <v>4</v>
      </c>
      <c r="AC86" s="76">
        <v>4</v>
      </c>
      <c r="AD86" s="76">
        <v>4</v>
      </c>
      <c r="AE86" s="76"/>
      <c r="AF86" s="76"/>
      <c r="AG86" s="76"/>
      <c r="AH86" s="76"/>
      <c r="AI86" s="76"/>
      <c r="AJ86" s="76"/>
      <c r="AK86" s="76"/>
      <c r="AL86" s="76"/>
      <c r="AM86" s="76"/>
      <c r="AN86" s="76"/>
      <c r="AO86" s="76"/>
      <c r="AP86" s="76"/>
      <c r="AQ86" s="76"/>
      <c r="AR86" s="76"/>
      <c r="AS86" s="76"/>
      <c r="AT86" s="76"/>
      <c r="AU86" s="76"/>
      <c r="AV86" s="76"/>
      <c r="AW86" s="76"/>
      <c r="AX86" s="76"/>
      <c r="AY86" s="76"/>
      <c r="AZ86" s="76"/>
      <c r="BA86" s="76" t="s">
        <v>375</v>
      </c>
      <c r="BB86" s="76"/>
      <c r="BC86" s="76"/>
      <c r="BD86" s="76"/>
    </row>
    <row r="87" spans="1:56" s="11" customFormat="1" ht="42.75" customHeight="1">
      <c r="A87" s="408"/>
      <c r="B87" s="38" t="s">
        <v>123</v>
      </c>
      <c r="C87" s="38"/>
      <c r="D87" s="39">
        <v>0</v>
      </c>
      <c r="E87" s="39"/>
      <c r="F87" s="39"/>
      <c r="G87" s="39"/>
      <c r="H87" s="40">
        <f t="shared" si="19"/>
        <v>0</v>
      </c>
      <c r="I87" s="39"/>
      <c r="J87" s="39">
        <v>2000000</v>
      </c>
      <c r="K87" s="39"/>
      <c r="L87" s="39"/>
      <c r="M87" s="39">
        <f t="shared" si="22"/>
        <v>2000000</v>
      </c>
      <c r="N87" s="39">
        <f t="shared" si="23"/>
        <v>0</v>
      </c>
      <c r="O87" s="39">
        <f t="shared" si="24"/>
        <v>2080000</v>
      </c>
      <c r="P87" s="39">
        <f t="shared" si="25"/>
        <v>0</v>
      </c>
      <c r="Q87" s="39">
        <f t="shared" si="30"/>
        <v>0</v>
      </c>
      <c r="R87" s="39">
        <f t="shared" si="6"/>
        <v>2080000</v>
      </c>
      <c r="S87" s="39">
        <f t="shared" si="26"/>
        <v>0</v>
      </c>
      <c r="T87" s="39">
        <f t="shared" si="27"/>
        <v>2163200</v>
      </c>
      <c r="U87" s="39">
        <f t="shared" si="28"/>
        <v>0</v>
      </c>
      <c r="V87" s="39">
        <f t="shared" si="29"/>
        <v>0</v>
      </c>
      <c r="W87" s="39">
        <f t="shared" si="11"/>
        <v>2163200</v>
      </c>
      <c r="X87" s="76"/>
      <c r="Y87" s="76">
        <v>0</v>
      </c>
      <c r="Z87" s="76">
        <v>4</v>
      </c>
      <c r="AA87" s="76">
        <v>1</v>
      </c>
      <c r="AB87" s="76">
        <v>1</v>
      </c>
      <c r="AC87" s="76">
        <v>1</v>
      </c>
      <c r="AD87" s="76">
        <v>1</v>
      </c>
      <c r="AE87" s="76"/>
      <c r="AF87" s="76"/>
      <c r="AG87" s="76"/>
      <c r="AH87" s="76"/>
      <c r="AI87" s="76"/>
      <c r="AJ87" s="76"/>
      <c r="AK87" s="76"/>
      <c r="AL87" s="76"/>
      <c r="AM87" s="76"/>
      <c r="AN87" s="76"/>
      <c r="AO87" s="76"/>
      <c r="AP87" s="76"/>
      <c r="AQ87" s="76"/>
      <c r="AR87" s="76"/>
      <c r="AS87" s="76"/>
      <c r="AT87" s="76"/>
      <c r="AU87" s="76"/>
      <c r="AV87" s="76"/>
      <c r="AW87" s="76"/>
      <c r="AX87" s="76"/>
      <c r="AY87" s="76"/>
      <c r="AZ87" s="76"/>
      <c r="BA87" s="91"/>
      <c r="BB87" s="76"/>
      <c r="BC87" s="76"/>
      <c r="BD87" s="76"/>
    </row>
    <row r="88" spans="1:56" s="11" customFormat="1" ht="15">
      <c r="A88" s="407"/>
      <c r="B88" s="31" t="s">
        <v>342</v>
      </c>
      <c r="C88" s="31"/>
      <c r="D88" s="33">
        <f>SUM(D86:D87)</f>
        <v>0</v>
      </c>
      <c r="E88" s="33">
        <f aca="true" t="shared" si="32" ref="E88:W88">SUM(E86:E87)</f>
        <v>0</v>
      </c>
      <c r="F88" s="33">
        <f t="shared" si="32"/>
        <v>0</v>
      </c>
      <c r="G88" s="33">
        <f t="shared" si="32"/>
        <v>0</v>
      </c>
      <c r="H88" s="33">
        <f t="shared" si="32"/>
        <v>0</v>
      </c>
      <c r="I88" s="33">
        <f t="shared" si="32"/>
        <v>0</v>
      </c>
      <c r="J88" s="33">
        <f t="shared" si="32"/>
        <v>3500000</v>
      </c>
      <c r="K88" s="33">
        <f t="shared" si="32"/>
        <v>0</v>
      </c>
      <c r="L88" s="33">
        <f t="shared" si="32"/>
        <v>0</v>
      </c>
      <c r="M88" s="33">
        <f t="shared" si="32"/>
        <v>3500000</v>
      </c>
      <c r="N88" s="33">
        <f t="shared" si="32"/>
        <v>0</v>
      </c>
      <c r="O88" s="33">
        <f t="shared" si="32"/>
        <v>3640000</v>
      </c>
      <c r="P88" s="33">
        <f t="shared" si="32"/>
        <v>0</v>
      </c>
      <c r="Q88" s="33">
        <f t="shared" si="32"/>
        <v>0</v>
      </c>
      <c r="R88" s="33">
        <f t="shared" si="32"/>
        <v>3640000</v>
      </c>
      <c r="S88" s="33">
        <f t="shared" si="32"/>
        <v>0</v>
      </c>
      <c r="T88" s="33">
        <f t="shared" si="32"/>
        <v>3785600</v>
      </c>
      <c r="U88" s="33">
        <f t="shared" si="32"/>
        <v>0</v>
      </c>
      <c r="V88" s="33">
        <f t="shared" si="32"/>
        <v>0</v>
      </c>
      <c r="W88" s="33">
        <f t="shared" si="32"/>
        <v>3785600</v>
      </c>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row>
    <row r="89" spans="1:56" s="11" customFormat="1" ht="50.25" customHeight="1">
      <c r="A89" s="406" t="s">
        <v>124</v>
      </c>
      <c r="B89" s="38" t="s">
        <v>273</v>
      </c>
      <c r="C89" s="38"/>
      <c r="D89" s="39">
        <v>0</v>
      </c>
      <c r="E89" s="39"/>
      <c r="F89" s="39"/>
      <c r="G89" s="39"/>
      <c r="H89" s="40">
        <f t="shared" si="19"/>
        <v>0</v>
      </c>
      <c r="I89" s="39"/>
      <c r="J89" s="39">
        <v>27976000</v>
      </c>
      <c r="K89" s="39"/>
      <c r="L89" s="39"/>
      <c r="M89" s="39">
        <f t="shared" si="22"/>
        <v>27976000</v>
      </c>
      <c r="N89" s="39">
        <f t="shared" si="23"/>
        <v>0</v>
      </c>
      <c r="O89" s="39">
        <f t="shared" si="24"/>
        <v>29095040</v>
      </c>
      <c r="P89" s="39">
        <f t="shared" si="25"/>
        <v>0</v>
      </c>
      <c r="Q89" s="39">
        <f t="shared" si="30"/>
        <v>0</v>
      </c>
      <c r="R89" s="39">
        <f t="shared" si="6"/>
        <v>29095040</v>
      </c>
      <c r="S89" s="39">
        <f t="shared" si="26"/>
        <v>0</v>
      </c>
      <c r="T89" s="39">
        <f t="shared" si="27"/>
        <v>30258841.6</v>
      </c>
      <c r="U89" s="39">
        <f t="shared" si="28"/>
        <v>0</v>
      </c>
      <c r="V89" s="39">
        <f t="shared" si="29"/>
        <v>0</v>
      </c>
      <c r="W89" s="39">
        <f t="shared" si="11"/>
        <v>30258841.6</v>
      </c>
      <c r="X89" s="76"/>
      <c r="Y89" s="76">
        <v>0</v>
      </c>
      <c r="Z89" s="76">
        <v>1</v>
      </c>
      <c r="AA89" s="76">
        <v>0</v>
      </c>
      <c r="AB89" s="76">
        <v>1</v>
      </c>
      <c r="AC89" s="76">
        <v>0</v>
      </c>
      <c r="AD89" s="76">
        <v>0</v>
      </c>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row>
    <row r="90" spans="1:56" s="11" customFormat="1" ht="39" customHeight="1">
      <c r="A90" s="408"/>
      <c r="B90" s="38" t="s">
        <v>130</v>
      </c>
      <c r="C90" s="38"/>
      <c r="D90" s="39">
        <v>0</v>
      </c>
      <c r="E90" s="39"/>
      <c r="F90" s="39"/>
      <c r="G90" s="39">
        <v>10000000</v>
      </c>
      <c r="H90" s="40">
        <f t="shared" si="19"/>
        <v>10000000</v>
      </c>
      <c r="I90" s="39"/>
      <c r="J90" s="39">
        <v>1000000</v>
      </c>
      <c r="K90" s="39"/>
      <c r="L90" s="39"/>
      <c r="M90" s="39">
        <f t="shared" si="22"/>
        <v>1000000</v>
      </c>
      <c r="N90" s="39">
        <f t="shared" si="23"/>
        <v>0</v>
      </c>
      <c r="O90" s="39">
        <f t="shared" si="24"/>
        <v>1040000</v>
      </c>
      <c r="P90" s="39">
        <f t="shared" si="25"/>
        <v>0</v>
      </c>
      <c r="Q90" s="39">
        <f t="shared" si="30"/>
        <v>0</v>
      </c>
      <c r="R90" s="39">
        <f t="shared" si="6"/>
        <v>1040000</v>
      </c>
      <c r="S90" s="39">
        <f t="shared" si="26"/>
        <v>0</v>
      </c>
      <c r="T90" s="39">
        <f t="shared" si="27"/>
        <v>1081600</v>
      </c>
      <c r="U90" s="39">
        <f t="shared" si="28"/>
        <v>0</v>
      </c>
      <c r="V90" s="39">
        <f t="shared" si="29"/>
        <v>0</v>
      </c>
      <c r="W90" s="39">
        <f t="shared" si="11"/>
        <v>1081600</v>
      </c>
      <c r="X90" s="76"/>
      <c r="Y90" s="76">
        <v>0</v>
      </c>
      <c r="Z90" s="76">
        <v>50</v>
      </c>
      <c r="AA90" s="76">
        <v>10</v>
      </c>
      <c r="AB90" s="76">
        <v>20</v>
      </c>
      <c r="AC90" s="76">
        <v>20</v>
      </c>
      <c r="AD90" s="76">
        <v>0</v>
      </c>
      <c r="AE90" s="76"/>
      <c r="AF90" s="76"/>
      <c r="AG90" s="76"/>
      <c r="AH90" s="76"/>
      <c r="AI90" s="76"/>
      <c r="AJ90" s="76"/>
      <c r="AK90" s="76"/>
      <c r="AL90" s="76"/>
      <c r="AM90" s="76"/>
      <c r="AN90" s="76"/>
      <c r="AO90" s="76"/>
      <c r="AP90" s="76"/>
      <c r="AQ90" s="76"/>
      <c r="AR90" s="76"/>
      <c r="AS90" s="76"/>
      <c r="AT90" s="76"/>
      <c r="AU90" s="76"/>
      <c r="AV90" s="76"/>
      <c r="AW90" s="76"/>
      <c r="AX90" s="76"/>
      <c r="AY90" s="76"/>
      <c r="AZ90" s="76"/>
      <c r="BA90" s="91"/>
      <c r="BB90" s="76"/>
      <c r="BC90" s="76"/>
      <c r="BD90" s="76"/>
    </row>
    <row r="91" spans="1:56" s="11" customFormat="1" ht="51" customHeight="1">
      <c r="A91" s="408"/>
      <c r="B91" s="38" t="s">
        <v>274</v>
      </c>
      <c r="C91" s="38"/>
      <c r="D91" s="39">
        <v>0</v>
      </c>
      <c r="E91" s="39"/>
      <c r="F91" s="39"/>
      <c r="G91" s="39"/>
      <c r="H91" s="40">
        <f t="shared" si="19"/>
        <v>0</v>
      </c>
      <c r="I91" s="39"/>
      <c r="J91" s="39">
        <v>2000000</v>
      </c>
      <c r="K91" s="39"/>
      <c r="L91" s="39"/>
      <c r="M91" s="39">
        <f t="shared" si="22"/>
        <v>2000000</v>
      </c>
      <c r="N91" s="39">
        <f t="shared" si="23"/>
        <v>0</v>
      </c>
      <c r="O91" s="39">
        <f t="shared" si="24"/>
        <v>2080000</v>
      </c>
      <c r="P91" s="39">
        <f t="shared" si="25"/>
        <v>0</v>
      </c>
      <c r="Q91" s="39">
        <f t="shared" si="30"/>
        <v>0</v>
      </c>
      <c r="R91" s="39">
        <f t="shared" si="6"/>
        <v>2080000</v>
      </c>
      <c r="S91" s="39">
        <f t="shared" si="26"/>
        <v>0</v>
      </c>
      <c r="T91" s="39">
        <f t="shared" si="27"/>
        <v>2163200</v>
      </c>
      <c r="U91" s="39">
        <f t="shared" si="28"/>
        <v>0</v>
      </c>
      <c r="V91" s="39">
        <f t="shared" si="29"/>
        <v>0</v>
      </c>
      <c r="W91" s="39">
        <f t="shared" si="11"/>
        <v>2163200</v>
      </c>
      <c r="X91" s="76"/>
      <c r="Y91" s="76">
        <v>0</v>
      </c>
      <c r="Z91" s="76">
        <v>20</v>
      </c>
      <c r="AA91" s="76">
        <v>0</v>
      </c>
      <c r="AB91" s="76">
        <v>10</v>
      </c>
      <c r="AC91" s="76">
        <v>10</v>
      </c>
      <c r="AD91" s="76">
        <v>0</v>
      </c>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row>
    <row r="92" spans="1:56" s="11" customFormat="1" ht="25.5" customHeight="1">
      <c r="A92" s="408"/>
      <c r="B92" s="38" t="s">
        <v>131</v>
      </c>
      <c r="C92" s="38"/>
      <c r="D92" s="39">
        <v>0</v>
      </c>
      <c r="E92" s="39"/>
      <c r="F92" s="39"/>
      <c r="G92" s="39">
        <v>5000000</v>
      </c>
      <c r="H92" s="40">
        <f t="shared" si="19"/>
        <v>5000000</v>
      </c>
      <c r="I92" s="39"/>
      <c r="J92" s="39">
        <v>2000000</v>
      </c>
      <c r="K92" s="39"/>
      <c r="L92" s="39"/>
      <c r="M92" s="39">
        <f t="shared" si="22"/>
        <v>2000000</v>
      </c>
      <c r="N92" s="39">
        <f t="shared" si="23"/>
        <v>0</v>
      </c>
      <c r="O92" s="39">
        <f t="shared" si="24"/>
        <v>2080000</v>
      </c>
      <c r="P92" s="39">
        <f t="shared" si="25"/>
        <v>0</v>
      </c>
      <c r="Q92" s="39">
        <f t="shared" si="30"/>
        <v>0</v>
      </c>
      <c r="R92" s="39">
        <f t="shared" si="6"/>
        <v>2080000</v>
      </c>
      <c r="S92" s="39">
        <f t="shared" si="26"/>
        <v>0</v>
      </c>
      <c r="T92" s="39">
        <f t="shared" si="27"/>
        <v>2163200</v>
      </c>
      <c r="U92" s="39">
        <f t="shared" si="28"/>
        <v>0</v>
      </c>
      <c r="V92" s="39">
        <f t="shared" si="29"/>
        <v>0</v>
      </c>
      <c r="W92" s="39">
        <f t="shared" si="11"/>
        <v>2163200</v>
      </c>
      <c r="X92" s="76"/>
      <c r="Y92" s="76">
        <v>0</v>
      </c>
      <c r="Z92" s="76">
        <v>4</v>
      </c>
      <c r="AA92" s="76">
        <v>1</v>
      </c>
      <c r="AB92" s="76">
        <v>1</v>
      </c>
      <c r="AC92" s="76">
        <v>1</v>
      </c>
      <c r="AD92" s="76">
        <v>1</v>
      </c>
      <c r="AE92" s="76"/>
      <c r="AF92" s="76"/>
      <c r="AG92" s="76"/>
      <c r="AH92" s="76"/>
      <c r="AI92" s="76"/>
      <c r="AJ92" s="76"/>
      <c r="AK92" s="76"/>
      <c r="AL92" s="76"/>
      <c r="AM92" s="76"/>
      <c r="AN92" s="76"/>
      <c r="AO92" s="76"/>
      <c r="AP92" s="76"/>
      <c r="AQ92" s="76"/>
      <c r="AR92" s="76"/>
      <c r="AS92" s="76"/>
      <c r="AT92" s="76"/>
      <c r="AU92" s="76"/>
      <c r="AV92" s="76"/>
      <c r="AW92" s="76"/>
      <c r="AX92" s="76"/>
      <c r="AY92" s="76"/>
      <c r="AZ92" s="76"/>
      <c r="BA92" s="91"/>
      <c r="BB92" s="76"/>
      <c r="BC92" s="76"/>
      <c r="BD92" s="76"/>
    </row>
    <row r="93" spans="1:56" s="11" customFormat="1" ht="39.75" customHeight="1">
      <c r="A93" s="408"/>
      <c r="B93" s="38" t="s">
        <v>132</v>
      </c>
      <c r="C93" s="38"/>
      <c r="D93" s="39">
        <v>1000000</v>
      </c>
      <c r="E93" s="39"/>
      <c r="F93" s="39"/>
      <c r="G93" s="39"/>
      <c r="H93" s="40">
        <f t="shared" si="19"/>
        <v>1000000</v>
      </c>
      <c r="I93" s="39"/>
      <c r="J93" s="39">
        <v>2000000</v>
      </c>
      <c r="K93" s="39"/>
      <c r="L93" s="39"/>
      <c r="M93" s="39">
        <f t="shared" si="22"/>
        <v>2000000</v>
      </c>
      <c r="N93" s="39">
        <f t="shared" si="23"/>
        <v>0</v>
      </c>
      <c r="O93" s="39">
        <f t="shared" si="24"/>
        <v>2080000</v>
      </c>
      <c r="P93" s="39">
        <f t="shared" si="25"/>
        <v>0</v>
      </c>
      <c r="Q93" s="39">
        <f t="shared" si="30"/>
        <v>0</v>
      </c>
      <c r="R93" s="39">
        <f t="shared" si="6"/>
        <v>2080000</v>
      </c>
      <c r="S93" s="39">
        <f t="shared" si="26"/>
        <v>0</v>
      </c>
      <c r="T93" s="39">
        <f t="shared" si="27"/>
        <v>2163200</v>
      </c>
      <c r="U93" s="39">
        <f t="shared" si="28"/>
        <v>0</v>
      </c>
      <c r="V93" s="39">
        <f t="shared" si="29"/>
        <v>0</v>
      </c>
      <c r="W93" s="39">
        <f t="shared" si="11"/>
        <v>2163200</v>
      </c>
      <c r="X93" s="76"/>
      <c r="Y93" s="76">
        <v>0</v>
      </c>
      <c r="Z93" s="76">
        <v>1</v>
      </c>
      <c r="AA93" s="76">
        <v>1</v>
      </c>
      <c r="AB93" s="76">
        <v>1</v>
      </c>
      <c r="AC93" s="76">
        <v>1</v>
      </c>
      <c r="AD93" s="76">
        <v>1</v>
      </c>
      <c r="AE93" s="76"/>
      <c r="AF93" s="76"/>
      <c r="AG93" s="76"/>
      <c r="AH93" s="76"/>
      <c r="AI93" s="76"/>
      <c r="AJ93" s="76"/>
      <c r="AK93" s="76"/>
      <c r="AL93" s="76"/>
      <c r="AM93" s="76"/>
      <c r="AN93" s="76"/>
      <c r="AO93" s="76"/>
      <c r="AP93" s="76"/>
      <c r="AQ93" s="76"/>
      <c r="AR93" s="76"/>
      <c r="AS93" s="76"/>
      <c r="AT93" s="76"/>
      <c r="AU93" s="76"/>
      <c r="AV93" s="76"/>
      <c r="AW93" s="76"/>
      <c r="AX93" s="76"/>
      <c r="AY93" s="76"/>
      <c r="AZ93" s="76"/>
      <c r="BA93" s="91"/>
      <c r="BB93" s="76"/>
      <c r="BC93" s="76"/>
      <c r="BD93" s="76"/>
    </row>
    <row r="94" spans="1:56" s="11" customFormat="1" ht="43.5" customHeight="1">
      <c r="A94" s="408"/>
      <c r="B94" s="38" t="s">
        <v>133</v>
      </c>
      <c r="C94" s="38"/>
      <c r="D94" s="39">
        <v>0</v>
      </c>
      <c r="E94" s="39">
        <v>2000000</v>
      </c>
      <c r="F94" s="39"/>
      <c r="G94" s="39"/>
      <c r="H94" s="40">
        <f>SUM(D94:G94)</f>
        <v>2000000</v>
      </c>
      <c r="I94" s="39"/>
      <c r="J94" s="39">
        <v>1000000</v>
      </c>
      <c r="K94" s="39"/>
      <c r="L94" s="39"/>
      <c r="M94" s="39">
        <f aca="true" t="shared" si="33" ref="M94:M100">SUM(I94:L94)</f>
        <v>1000000</v>
      </c>
      <c r="N94" s="39">
        <f>+I94*4%+I94</f>
        <v>0</v>
      </c>
      <c r="O94" s="39">
        <f>+J94*4%+J94</f>
        <v>1040000</v>
      </c>
      <c r="P94" s="39">
        <f>+K94*4%+K94</f>
        <v>0</v>
      </c>
      <c r="Q94" s="39">
        <f>+L94*4%+L94</f>
        <v>0</v>
      </c>
      <c r="R94" s="39">
        <f>SUM(N94:Q94)</f>
        <v>1040000</v>
      </c>
      <c r="S94" s="39">
        <f>+N94*4%+N94</f>
        <v>0</v>
      </c>
      <c r="T94" s="39">
        <f>+O94*4%+O94</f>
        <v>1081600</v>
      </c>
      <c r="U94" s="39">
        <f>+P94*4%+P94</f>
        <v>0</v>
      </c>
      <c r="V94" s="39">
        <f>+Q94*4%+Q94</f>
        <v>0</v>
      </c>
      <c r="W94" s="39">
        <f>SUM(S94:V94)</f>
        <v>1081600</v>
      </c>
      <c r="X94" s="76"/>
      <c r="Y94" s="76">
        <v>0</v>
      </c>
      <c r="Z94" s="76">
        <v>20</v>
      </c>
      <c r="AA94" s="76">
        <v>0</v>
      </c>
      <c r="AB94" s="76">
        <v>10</v>
      </c>
      <c r="AC94" s="76">
        <v>10</v>
      </c>
      <c r="AD94" s="76">
        <v>0</v>
      </c>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row>
    <row r="95" spans="1:56" s="11" customFormat="1" ht="40.5" customHeight="1">
      <c r="A95" s="408"/>
      <c r="B95" s="38" t="s">
        <v>333</v>
      </c>
      <c r="C95" s="38"/>
      <c r="D95" s="39">
        <v>10000000</v>
      </c>
      <c r="E95" s="39"/>
      <c r="F95" s="39"/>
      <c r="G95" s="39"/>
      <c r="H95" s="40"/>
      <c r="I95" s="39">
        <v>10000000</v>
      </c>
      <c r="J95" s="39"/>
      <c r="K95" s="39"/>
      <c r="L95" s="39"/>
      <c r="M95" s="39">
        <f t="shared" si="33"/>
        <v>10000000</v>
      </c>
      <c r="N95" s="39">
        <v>10000000</v>
      </c>
      <c r="O95" s="39"/>
      <c r="P95" s="39"/>
      <c r="Q95" s="39"/>
      <c r="R95" s="39">
        <f>SUM(N95:Q95)</f>
        <v>10000000</v>
      </c>
      <c r="S95" s="39">
        <v>10000000</v>
      </c>
      <c r="T95" s="39"/>
      <c r="U95" s="39"/>
      <c r="V95" s="39"/>
      <c r="W95" s="39">
        <f>SUM(S95:V95)</f>
        <v>10000000</v>
      </c>
      <c r="X95" s="76"/>
      <c r="Y95" s="76">
        <v>0</v>
      </c>
      <c r="Z95" s="76">
        <v>45</v>
      </c>
      <c r="AA95" s="76">
        <v>5</v>
      </c>
      <c r="AB95" s="76">
        <v>15</v>
      </c>
      <c r="AC95" s="76">
        <v>10</v>
      </c>
      <c r="AD95" s="76">
        <v>15</v>
      </c>
      <c r="AE95" s="76"/>
      <c r="AF95" s="76"/>
      <c r="AG95" s="76"/>
      <c r="AH95" s="76"/>
      <c r="AI95" s="76"/>
      <c r="AJ95" s="76"/>
      <c r="AK95" s="76"/>
      <c r="AL95" s="76"/>
      <c r="AM95" s="76"/>
      <c r="AN95" s="76"/>
      <c r="AO95" s="76"/>
      <c r="AP95" s="76"/>
      <c r="AQ95" s="76"/>
      <c r="AR95" s="76"/>
      <c r="AS95" s="76"/>
      <c r="AT95" s="76"/>
      <c r="AU95" s="76"/>
      <c r="AV95" s="76"/>
      <c r="AW95" s="76"/>
      <c r="AX95" s="76"/>
      <c r="AY95" s="76"/>
      <c r="AZ95" s="76"/>
      <c r="BA95" s="91"/>
      <c r="BB95" s="76"/>
      <c r="BC95" s="76"/>
      <c r="BD95" s="76"/>
    </row>
    <row r="96" spans="1:56" s="11" customFormat="1" ht="65.25" customHeight="1">
      <c r="A96" s="408"/>
      <c r="B96" s="38" t="s">
        <v>334</v>
      </c>
      <c r="C96" s="38"/>
      <c r="D96" s="39"/>
      <c r="E96" s="39">
        <v>4000000</v>
      </c>
      <c r="F96" s="39"/>
      <c r="G96" s="39"/>
      <c r="H96" s="40"/>
      <c r="I96" s="39">
        <v>2000000</v>
      </c>
      <c r="J96" s="39"/>
      <c r="K96" s="39"/>
      <c r="L96" s="39"/>
      <c r="M96" s="39">
        <f t="shared" si="33"/>
        <v>2000000</v>
      </c>
      <c r="N96" s="39"/>
      <c r="O96" s="39"/>
      <c r="P96" s="39"/>
      <c r="Q96" s="39"/>
      <c r="R96" s="39"/>
      <c r="S96" s="39"/>
      <c r="T96" s="39"/>
      <c r="U96" s="39"/>
      <c r="V96" s="39"/>
      <c r="W96" s="39"/>
      <c r="X96" s="76"/>
      <c r="Y96" s="76">
        <v>0</v>
      </c>
      <c r="Z96" s="76">
        <v>60</v>
      </c>
      <c r="AA96" s="76">
        <v>15</v>
      </c>
      <c r="AB96" s="76">
        <v>15</v>
      </c>
      <c r="AC96" s="76">
        <v>15</v>
      </c>
      <c r="AD96" s="76">
        <v>15</v>
      </c>
      <c r="AE96" s="76"/>
      <c r="AF96" s="76"/>
      <c r="AG96" s="76"/>
      <c r="AH96" s="76"/>
      <c r="AI96" s="76"/>
      <c r="AJ96" s="76"/>
      <c r="AK96" s="76"/>
      <c r="AL96" s="76"/>
      <c r="AM96" s="76"/>
      <c r="AN96" s="76"/>
      <c r="AO96" s="76"/>
      <c r="AP96" s="76"/>
      <c r="AQ96" s="76"/>
      <c r="AR96" s="76"/>
      <c r="AS96" s="76"/>
      <c r="AT96" s="76"/>
      <c r="AU96" s="76"/>
      <c r="AV96" s="76"/>
      <c r="AW96" s="76"/>
      <c r="AX96" s="76"/>
      <c r="AY96" s="76"/>
      <c r="AZ96" s="76"/>
      <c r="BA96" s="91"/>
      <c r="BB96" s="76"/>
      <c r="BC96" s="76"/>
      <c r="BD96" s="76"/>
    </row>
    <row r="97" spans="1:56" s="11" customFormat="1" ht="37.5" customHeight="1">
      <c r="A97" s="408"/>
      <c r="B97" s="38" t="s">
        <v>335</v>
      </c>
      <c r="C97" s="38"/>
      <c r="D97" s="39"/>
      <c r="E97" s="39"/>
      <c r="F97" s="39"/>
      <c r="G97" s="39"/>
      <c r="H97" s="40"/>
      <c r="I97" s="39">
        <v>2000000</v>
      </c>
      <c r="J97" s="39"/>
      <c r="K97" s="39"/>
      <c r="L97" s="39"/>
      <c r="M97" s="39">
        <f t="shared" si="33"/>
        <v>2000000</v>
      </c>
      <c r="N97" s="39"/>
      <c r="O97" s="39"/>
      <c r="P97" s="39"/>
      <c r="Q97" s="39"/>
      <c r="R97" s="39"/>
      <c r="S97" s="39"/>
      <c r="T97" s="39"/>
      <c r="U97" s="39"/>
      <c r="V97" s="39"/>
      <c r="W97" s="39"/>
      <c r="X97" s="76"/>
      <c r="Y97" s="76">
        <v>0</v>
      </c>
      <c r="Z97" s="76">
        <v>80</v>
      </c>
      <c r="AA97" s="76">
        <v>20</v>
      </c>
      <c r="AB97" s="76">
        <v>20</v>
      </c>
      <c r="AC97" s="76">
        <v>20</v>
      </c>
      <c r="AD97" s="76">
        <v>20</v>
      </c>
      <c r="AE97" s="76"/>
      <c r="AF97" s="76"/>
      <c r="AG97" s="76"/>
      <c r="AH97" s="76"/>
      <c r="AI97" s="76"/>
      <c r="AJ97" s="76"/>
      <c r="AK97" s="76"/>
      <c r="AL97" s="76"/>
      <c r="AM97" s="76"/>
      <c r="AN97" s="76"/>
      <c r="AO97" s="76"/>
      <c r="AP97" s="76"/>
      <c r="AQ97" s="76"/>
      <c r="AR97" s="76"/>
      <c r="AS97" s="76"/>
      <c r="AT97" s="76"/>
      <c r="AU97" s="76"/>
      <c r="AV97" s="76"/>
      <c r="AW97" s="76"/>
      <c r="AX97" s="76"/>
      <c r="AY97" s="76"/>
      <c r="AZ97" s="76"/>
      <c r="BA97" s="91"/>
      <c r="BB97" s="76"/>
      <c r="BC97" s="76"/>
      <c r="BD97" s="76"/>
    </row>
    <row r="98" spans="1:56" s="11" customFormat="1" ht="49.5" customHeight="1">
      <c r="A98" s="408"/>
      <c r="B98" s="38" t="s">
        <v>336</v>
      </c>
      <c r="C98" s="38"/>
      <c r="D98" s="39"/>
      <c r="E98" s="39"/>
      <c r="F98" s="39"/>
      <c r="G98" s="39"/>
      <c r="H98" s="40"/>
      <c r="I98" s="39">
        <v>2000000</v>
      </c>
      <c r="J98" s="39"/>
      <c r="K98" s="39"/>
      <c r="L98" s="39"/>
      <c r="M98" s="39">
        <f t="shared" si="33"/>
        <v>2000000</v>
      </c>
      <c r="N98" s="39"/>
      <c r="O98" s="39"/>
      <c r="P98" s="39"/>
      <c r="Q98" s="39"/>
      <c r="R98" s="39"/>
      <c r="S98" s="39"/>
      <c r="T98" s="39"/>
      <c r="U98" s="39"/>
      <c r="V98" s="39"/>
      <c r="W98" s="39"/>
      <c r="X98" s="76"/>
      <c r="Y98" s="76">
        <v>0</v>
      </c>
      <c r="Z98" s="76">
        <v>1</v>
      </c>
      <c r="AA98" s="92">
        <v>0.25</v>
      </c>
      <c r="AB98" s="92">
        <v>0.25</v>
      </c>
      <c r="AC98" s="92">
        <v>0.25</v>
      </c>
      <c r="AD98" s="92">
        <v>0.25</v>
      </c>
      <c r="AE98" s="76"/>
      <c r="AF98" s="76"/>
      <c r="AG98" s="76"/>
      <c r="AH98" s="76"/>
      <c r="AI98" s="76"/>
      <c r="AJ98" s="76"/>
      <c r="AK98" s="76"/>
      <c r="AL98" s="76"/>
      <c r="AM98" s="76"/>
      <c r="AN98" s="76"/>
      <c r="AO98" s="76"/>
      <c r="AP98" s="76"/>
      <c r="AQ98" s="76"/>
      <c r="AR98" s="76"/>
      <c r="AS98" s="76"/>
      <c r="AT98" s="76"/>
      <c r="AU98" s="76"/>
      <c r="AV98" s="76"/>
      <c r="AW98" s="76"/>
      <c r="AX98" s="76"/>
      <c r="AY98" s="76"/>
      <c r="AZ98" s="76"/>
      <c r="BA98" s="91"/>
      <c r="BB98" s="76"/>
      <c r="BC98" s="76"/>
      <c r="BD98" s="76"/>
    </row>
    <row r="99" spans="1:56" s="11" customFormat="1" ht="15">
      <c r="A99" s="407"/>
      <c r="B99" s="31" t="s">
        <v>342</v>
      </c>
      <c r="C99" s="31"/>
      <c r="D99" s="33">
        <f>SUM(D89:D98)</f>
        <v>11000000</v>
      </c>
      <c r="E99" s="33">
        <f aca="true" t="shared" si="34" ref="E99:W99">SUM(E89:E98)</f>
        <v>6000000</v>
      </c>
      <c r="F99" s="33">
        <f t="shared" si="34"/>
        <v>0</v>
      </c>
      <c r="G99" s="33">
        <f t="shared" si="34"/>
        <v>15000000</v>
      </c>
      <c r="H99" s="33">
        <f>D99+E99+F99+G99</f>
        <v>32000000</v>
      </c>
      <c r="I99" s="33">
        <f t="shared" si="34"/>
        <v>16000000</v>
      </c>
      <c r="J99" s="33">
        <f t="shared" si="34"/>
        <v>35976000</v>
      </c>
      <c r="K99" s="33">
        <f t="shared" si="34"/>
        <v>0</v>
      </c>
      <c r="L99" s="33">
        <f t="shared" si="34"/>
        <v>0</v>
      </c>
      <c r="M99" s="33">
        <f t="shared" si="34"/>
        <v>51976000</v>
      </c>
      <c r="N99" s="33">
        <f t="shared" si="34"/>
        <v>10000000</v>
      </c>
      <c r="O99" s="33">
        <f t="shared" si="34"/>
        <v>37415040</v>
      </c>
      <c r="P99" s="33">
        <f t="shared" si="34"/>
        <v>0</v>
      </c>
      <c r="Q99" s="33">
        <f t="shared" si="34"/>
        <v>0</v>
      </c>
      <c r="R99" s="33">
        <f t="shared" si="34"/>
        <v>47415040</v>
      </c>
      <c r="S99" s="33">
        <f t="shared" si="34"/>
        <v>10000000</v>
      </c>
      <c r="T99" s="33">
        <f t="shared" si="34"/>
        <v>38911641.6</v>
      </c>
      <c r="U99" s="33">
        <f t="shared" si="34"/>
        <v>0</v>
      </c>
      <c r="V99" s="33">
        <f t="shared" si="34"/>
        <v>0</v>
      </c>
      <c r="W99" s="33">
        <f t="shared" si="34"/>
        <v>48911641.6</v>
      </c>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row>
    <row r="100" spans="1:56" s="11" customFormat="1" ht="36.75" customHeight="1">
      <c r="A100" s="406" t="s">
        <v>343</v>
      </c>
      <c r="B100" s="38" t="s">
        <v>134</v>
      </c>
      <c r="C100" s="38"/>
      <c r="D100" s="39">
        <v>0</v>
      </c>
      <c r="E100" s="39"/>
      <c r="F100" s="39"/>
      <c r="G100" s="39"/>
      <c r="H100" s="40">
        <f t="shared" si="19"/>
        <v>0</v>
      </c>
      <c r="I100" s="39"/>
      <c r="J100" s="39">
        <v>1112555</v>
      </c>
      <c r="K100" s="39"/>
      <c r="L100" s="39"/>
      <c r="M100" s="39">
        <f t="shared" si="33"/>
        <v>1112555</v>
      </c>
      <c r="N100" s="39">
        <f t="shared" si="23"/>
        <v>0</v>
      </c>
      <c r="O100" s="39">
        <f t="shared" si="24"/>
        <v>1157057.2</v>
      </c>
      <c r="P100" s="39">
        <f t="shared" si="25"/>
        <v>0</v>
      </c>
      <c r="Q100" s="39">
        <f t="shared" si="30"/>
        <v>0</v>
      </c>
      <c r="R100" s="39">
        <f t="shared" si="6"/>
        <v>1157057.2</v>
      </c>
      <c r="S100" s="39">
        <f t="shared" si="26"/>
        <v>0</v>
      </c>
      <c r="T100" s="39">
        <f t="shared" si="27"/>
        <v>1203339.488</v>
      </c>
      <c r="U100" s="39">
        <f t="shared" si="28"/>
        <v>0</v>
      </c>
      <c r="V100" s="39">
        <f t="shared" si="29"/>
        <v>0</v>
      </c>
      <c r="W100" s="39">
        <f t="shared" si="11"/>
        <v>1203339.488</v>
      </c>
      <c r="X100" s="76"/>
      <c r="Y100" s="76">
        <v>0</v>
      </c>
      <c r="Z100" s="76">
        <v>4</v>
      </c>
      <c r="AA100" s="76">
        <v>4</v>
      </c>
      <c r="AB100" s="76">
        <v>4</v>
      </c>
      <c r="AC100" s="76">
        <v>4</v>
      </c>
      <c r="AD100" s="76">
        <v>4</v>
      </c>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t="s">
        <v>375</v>
      </c>
      <c r="BB100" s="76"/>
      <c r="BC100" s="76"/>
      <c r="BD100" s="76"/>
    </row>
    <row r="101" spans="1:56" s="11" customFormat="1" ht="48.75" customHeight="1">
      <c r="A101" s="408"/>
      <c r="B101" s="38" t="s">
        <v>135</v>
      </c>
      <c r="C101" s="38"/>
      <c r="D101" s="39">
        <v>0</v>
      </c>
      <c r="E101" s="39"/>
      <c r="F101" s="39"/>
      <c r="G101" s="39"/>
      <c r="H101" s="40">
        <f t="shared" si="19"/>
        <v>0</v>
      </c>
      <c r="I101" s="39"/>
      <c r="J101" s="39">
        <v>1000000</v>
      </c>
      <c r="K101" s="39"/>
      <c r="L101" s="39">
        <v>5000000</v>
      </c>
      <c r="M101" s="39">
        <f t="shared" si="22"/>
        <v>6000000</v>
      </c>
      <c r="N101" s="39">
        <f t="shared" si="23"/>
        <v>0</v>
      </c>
      <c r="O101" s="39">
        <f t="shared" si="24"/>
        <v>1040000</v>
      </c>
      <c r="P101" s="39">
        <f t="shared" si="25"/>
        <v>0</v>
      </c>
      <c r="Q101" s="39">
        <f t="shared" si="30"/>
        <v>5200000</v>
      </c>
      <c r="R101" s="39">
        <f t="shared" si="6"/>
        <v>6240000</v>
      </c>
      <c r="S101" s="39">
        <f t="shared" si="26"/>
        <v>0</v>
      </c>
      <c r="T101" s="39">
        <f t="shared" si="27"/>
        <v>1081600</v>
      </c>
      <c r="U101" s="39">
        <f t="shared" si="28"/>
        <v>0</v>
      </c>
      <c r="V101" s="39">
        <f t="shared" si="29"/>
        <v>5408000</v>
      </c>
      <c r="W101" s="39">
        <f t="shared" si="11"/>
        <v>6489600</v>
      </c>
      <c r="X101" s="76"/>
      <c r="Y101" s="76">
        <v>0</v>
      </c>
      <c r="Z101" s="76">
        <v>1</v>
      </c>
      <c r="AA101" s="76">
        <v>0</v>
      </c>
      <c r="AB101" s="76">
        <v>0</v>
      </c>
      <c r="AC101" s="76">
        <v>1</v>
      </c>
      <c r="AD101" s="76">
        <v>0</v>
      </c>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row>
    <row r="102" spans="1:56" s="11" customFormat="1" ht="32.25" customHeight="1">
      <c r="A102" s="408"/>
      <c r="B102" s="38" t="s">
        <v>136</v>
      </c>
      <c r="C102" s="38"/>
      <c r="D102" s="39">
        <v>0</v>
      </c>
      <c r="E102" s="39"/>
      <c r="F102" s="39"/>
      <c r="G102" s="39">
        <v>5000000</v>
      </c>
      <c r="H102" s="40">
        <f t="shared" si="19"/>
        <v>5000000</v>
      </c>
      <c r="I102" s="39"/>
      <c r="J102" s="39">
        <v>1000000</v>
      </c>
      <c r="K102" s="39"/>
      <c r="L102" s="39"/>
      <c r="M102" s="39">
        <f t="shared" si="22"/>
        <v>1000000</v>
      </c>
      <c r="N102" s="39">
        <f t="shared" si="23"/>
        <v>0</v>
      </c>
      <c r="O102" s="39">
        <f t="shared" si="24"/>
        <v>1040000</v>
      </c>
      <c r="P102" s="39">
        <f t="shared" si="25"/>
        <v>0</v>
      </c>
      <c r="Q102" s="39">
        <f t="shared" si="30"/>
        <v>0</v>
      </c>
      <c r="R102" s="39">
        <f aca="true" t="shared" si="35" ref="R102:R122">SUM(N102:Q102)</f>
        <v>1040000</v>
      </c>
      <c r="S102" s="39">
        <f t="shared" si="26"/>
        <v>0</v>
      </c>
      <c r="T102" s="39">
        <f t="shared" si="27"/>
        <v>1081600</v>
      </c>
      <c r="U102" s="39">
        <f t="shared" si="28"/>
        <v>0</v>
      </c>
      <c r="V102" s="39">
        <f t="shared" si="29"/>
        <v>0</v>
      </c>
      <c r="W102" s="39">
        <f aca="true" t="shared" si="36" ref="W102:W184">SUM(S102:V102)</f>
        <v>1081600</v>
      </c>
      <c r="X102" s="76"/>
      <c r="Y102" s="76">
        <v>0</v>
      </c>
      <c r="Z102" s="76">
        <v>4</v>
      </c>
      <c r="AA102" s="76">
        <v>1</v>
      </c>
      <c r="AB102" s="76">
        <v>1</v>
      </c>
      <c r="AC102" s="76">
        <v>1</v>
      </c>
      <c r="AD102" s="76">
        <v>1</v>
      </c>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91"/>
      <c r="BB102" s="76"/>
      <c r="BC102" s="76"/>
      <c r="BD102" s="76"/>
    </row>
    <row r="103" spans="1:56" s="11" customFormat="1" ht="52.5" customHeight="1">
      <c r="A103" s="408"/>
      <c r="B103" s="38" t="s">
        <v>137</v>
      </c>
      <c r="C103" s="38"/>
      <c r="D103" s="39">
        <v>0</v>
      </c>
      <c r="E103" s="39"/>
      <c r="F103" s="39"/>
      <c r="G103" s="39"/>
      <c r="H103" s="40">
        <f t="shared" si="19"/>
        <v>0</v>
      </c>
      <c r="I103" s="39"/>
      <c r="J103" s="39">
        <v>1500000</v>
      </c>
      <c r="K103" s="39"/>
      <c r="L103" s="39"/>
      <c r="M103" s="39">
        <f t="shared" si="22"/>
        <v>1500000</v>
      </c>
      <c r="N103" s="39">
        <f t="shared" si="23"/>
        <v>0</v>
      </c>
      <c r="O103" s="39">
        <f t="shared" si="24"/>
        <v>1560000</v>
      </c>
      <c r="P103" s="39">
        <f t="shared" si="25"/>
        <v>0</v>
      </c>
      <c r="Q103" s="39">
        <f t="shared" si="30"/>
        <v>0</v>
      </c>
      <c r="R103" s="39">
        <f t="shared" si="35"/>
        <v>1560000</v>
      </c>
      <c r="S103" s="39">
        <f t="shared" si="26"/>
        <v>0</v>
      </c>
      <c r="T103" s="39">
        <f t="shared" si="27"/>
        <v>1622400</v>
      </c>
      <c r="U103" s="39">
        <f t="shared" si="28"/>
        <v>0</v>
      </c>
      <c r="V103" s="39">
        <f t="shared" si="29"/>
        <v>0</v>
      </c>
      <c r="W103" s="39">
        <f t="shared" si="36"/>
        <v>1622400</v>
      </c>
      <c r="X103" s="76"/>
      <c r="Y103" s="76">
        <v>0</v>
      </c>
      <c r="Z103" s="76">
        <v>150</v>
      </c>
      <c r="AA103" s="76">
        <v>70</v>
      </c>
      <c r="AB103" s="76">
        <v>30</v>
      </c>
      <c r="AC103" s="76">
        <v>30</v>
      </c>
      <c r="AD103" s="76">
        <v>20</v>
      </c>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91"/>
      <c r="BB103" s="76"/>
      <c r="BC103" s="76"/>
      <c r="BD103" s="76"/>
    </row>
    <row r="104" spans="1:56" s="11" customFormat="1" ht="51" customHeight="1">
      <c r="A104" s="408"/>
      <c r="B104" s="38" t="s">
        <v>275</v>
      </c>
      <c r="C104" s="38"/>
      <c r="D104" s="39"/>
      <c r="E104" s="39">
        <v>500000</v>
      </c>
      <c r="F104" s="39"/>
      <c r="G104" s="39"/>
      <c r="H104" s="40">
        <f t="shared" si="19"/>
        <v>500000</v>
      </c>
      <c r="I104" s="39"/>
      <c r="J104" s="39"/>
      <c r="K104" s="39"/>
      <c r="L104" s="39"/>
      <c r="M104" s="39">
        <f t="shared" si="22"/>
        <v>0</v>
      </c>
      <c r="N104" s="39">
        <v>5000000</v>
      </c>
      <c r="O104" s="39">
        <f t="shared" si="24"/>
        <v>0</v>
      </c>
      <c r="P104" s="39">
        <f t="shared" si="25"/>
        <v>0</v>
      </c>
      <c r="Q104" s="39">
        <f t="shared" si="30"/>
        <v>0</v>
      </c>
      <c r="R104" s="39">
        <f t="shared" si="35"/>
        <v>5000000</v>
      </c>
      <c r="S104" s="39">
        <f t="shared" si="26"/>
        <v>5200000</v>
      </c>
      <c r="T104" s="39">
        <f t="shared" si="27"/>
        <v>0</v>
      </c>
      <c r="U104" s="39">
        <f t="shared" si="28"/>
        <v>0</v>
      </c>
      <c r="V104" s="39">
        <f t="shared" si="29"/>
        <v>0</v>
      </c>
      <c r="W104" s="39">
        <f t="shared" si="36"/>
        <v>5200000</v>
      </c>
      <c r="X104" s="76"/>
      <c r="Y104" s="76">
        <v>0</v>
      </c>
      <c r="Z104" s="76">
        <v>12</v>
      </c>
      <c r="AA104" s="76">
        <v>4</v>
      </c>
      <c r="AB104" s="76">
        <v>4</v>
      </c>
      <c r="AC104" s="76">
        <v>4</v>
      </c>
      <c r="AD104" s="76">
        <v>0</v>
      </c>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91"/>
      <c r="BB104" s="76"/>
      <c r="BC104" s="76"/>
      <c r="BD104" s="76"/>
    </row>
    <row r="105" spans="1:56" s="11" customFormat="1" ht="51.75" customHeight="1">
      <c r="A105" s="408"/>
      <c r="B105" s="38" t="s">
        <v>276</v>
      </c>
      <c r="C105" s="38"/>
      <c r="D105" s="39">
        <v>0</v>
      </c>
      <c r="E105" s="39">
        <v>5000000</v>
      </c>
      <c r="F105" s="39"/>
      <c r="G105" s="39"/>
      <c r="H105" s="40">
        <f t="shared" si="19"/>
        <v>5000000</v>
      </c>
      <c r="I105" s="39"/>
      <c r="J105" s="39">
        <v>1000000</v>
      </c>
      <c r="K105" s="39"/>
      <c r="L105" s="39"/>
      <c r="M105" s="39">
        <f t="shared" si="22"/>
        <v>1000000</v>
      </c>
      <c r="N105" s="39">
        <f t="shared" si="23"/>
        <v>0</v>
      </c>
      <c r="O105" s="39">
        <f t="shared" si="24"/>
        <v>1040000</v>
      </c>
      <c r="P105" s="39">
        <f t="shared" si="25"/>
        <v>0</v>
      </c>
      <c r="Q105" s="39">
        <f t="shared" si="30"/>
        <v>0</v>
      </c>
      <c r="R105" s="39">
        <f t="shared" si="35"/>
        <v>1040000</v>
      </c>
      <c r="S105" s="39">
        <f t="shared" si="26"/>
        <v>0</v>
      </c>
      <c r="T105" s="39">
        <f t="shared" si="27"/>
        <v>1081600</v>
      </c>
      <c r="U105" s="39">
        <f t="shared" si="28"/>
        <v>0</v>
      </c>
      <c r="V105" s="39">
        <f t="shared" si="29"/>
        <v>0</v>
      </c>
      <c r="W105" s="39">
        <f t="shared" si="36"/>
        <v>1081600</v>
      </c>
      <c r="X105" s="76"/>
      <c r="Y105" s="76">
        <v>0</v>
      </c>
      <c r="Z105" s="76">
        <v>1</v>
      </c>
      <c r="AA105" s="76">
        <v>25</v>
      </c>
      <c r="AB105" s="76">
        <v>25</v>
      </c>
      <c r="AC105" s="76">
        <v>25</v>
      </c>
      <c r="AD105" s="76">
        <v>25</v>
      </c>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91"/>
      <c r="BB105" s="76"/>
      <c r="BC105" s="76"/>
      <c r="BD105" s="76"/>
    </row>
    <row r="106" spans="1:56" s="11" customFormat="1" ht="15">
      <c r="A106" s="407"/>
      <c r="B106" s="31" t="s">
        <v>342</v>
      </c>
      <c r="C106" s="31"/>
      <c r="D106" s="33">
        <f>SUM(D100:D105)</f>
        <v>0</v>
      </c>
      <c r="E106" s="33">
        <f aca="true" t="shared" si="37" ref="E106:W106">SUM(E100:E105)</f>
        <v>5500000</v>
      </c>
      <c r="F106" s="33">
        <f t="shared" si="37"/>
        <v>0</v>
      </c>
      <c r="G106" s="33">
        <f t="shared" si="37"/>
        <v>5000000</v>
      </c>
      <c r="H106" s="33">
        <f t="shared" si="37"/>
        <v>10500000</v>
      </c>
      <c r="I106" s="33">
        <f t="shared" si="37"/>
        <v>0</v>
      </c>
      <c r="J106" s="33">
        <f t="shared" si="37"/>
        <v>5612555</v>
      </c>
      <c r="K106" s="33">
        <f t="shared" si="37"/>
        <v>0</v>
      </c>
      <c r="L106" s="33">
        <f t="shared" si="37"/>
        <v>5000000</v>
      </c>
      <c r="M106" s="33">
        <f t="shared" si="37"/>
        <v>10612555</v>
      </c>
      <c r="N106" s="33">
        <f t="shared" si="37"/>
        <v>5000000</v>
      </c>
      <c r="O106" s="33">
        <f t="shared" si="37"/>
        <v>5837057.2</v>
      </c>
      <c r="P106" s="33">
        <f t="shared" si="37"/>
        <v>0</v>
      </c>
      <c r="Q106" s="33">
        <f t="shared" si="37"/>
        <v>5200000</v>
      </c>
      <c r="R106" s="33">
        <f t="shared" si="37"/>
        <v>16037057.2</v>
      </c>
      <c r="S106" s="33">
        <f t="shared" si="37"/>
        <v>5200000</v>
      </c>
      <c r="T106" s="33">
        <f t="shared" si="37"/>
        <v>6070539.488</v>
      </c>
      <c r="U106" s="33">
        <f t="shared" si="37"/>
        <v>0</v>
      </c>
      <c r="V106" s="33">
        <f t="shared" si="37"/>
        <v>5408000</v>
      </c>
      <c r="W106" s="33">
        <f t="shared" si="37"/>
        <v>16678539.488</v>
      </c>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row>
    <row r="107" spans="1:56" s="41" customFormat="1" ht="37.5" customHeight="1">
      <c r="A107" s="406" t="s">
        <v>138</v>
      </c>
      <c r="B107" s="38" t="s">
        <v>277</v>
      </c>
      <c r="C107" s="38"/>
      <c r="D107" s="39">
        <v>0</v>
      </c>
      <c r="E107" s="39">
        <v>28000000</v>
      </c>
      <c r="F107" s="39"/>
      <c r="G107" s="39"/>
      <c r="H107" s="40">
        <f t="shared" si="19"/>
        <v>28000000</v>
      </c>
      <c r="I107" s="39"/>
      <c r="J107" s="39"/>
      <c r="K107" s="39"/>
      <c r="L107" s="39"/>
      <c r="M107" s="39">
        <f t="shared" si="22"/>
        <v>0</v>
      </c>
      <c r="N107" s="39">
        <f t="shared" si="23"/>
        <v>0</v>
      </c>
      <c r="O107" s="39">
        <f t="shared" si="24"/>
        <v>0</v>
      </c>
      <c r="P107" s="39">
        <f t="shared" si="25"/>
        <v>0</v>
      </c>
      <c r="Q107" s="39">
        <f t="shared" si="30"/>
        <v>0</v>
      </c>
      <c r="R107" s="39">
        <f t="shared" si="35"/>
        <v>0</v>
      </c>
      <c r="S107" s="39">
        <f t="shared" si="26"/>
        <v>0</v>
      </c>
      <c r="T107" s="39">
        <f t="shared" si="27"/>
        <v>0</v>
      </c>
      <c r="U107" s="39">
        <f t="shared" si="28"/>
        <v>0</v>
      </c>
      <c r="V107" s="39">
        <f t="shared" si="29"/>
        <v>0</v>
      </c>
      <c r="W107" s="39">
        <f t="shared" si="36"/>
        <v>0</v>
      </c>
      <c r="X107" s="75"/>
      <c r="Y107" s="75">
        <v>0</v>
      </c>
      <c r="Z107" s="75">
        <v>1</v>
      </c>
      <c r="AA107" s="75">
        <v>1</v>
      </c>
      <c r="AB107" s="75">
        <v>0</v>
      </c>
      <c r="AC107" s="75">
        <v>0</v>
      </c>
      <c r="AD107" s="75">
        <v>0</v>
      </c>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91"/>
      <c r="BB107" s="75"/>
      <c r="BC107" s="75"/>
      <c r="BD107" s="75"/>
    </row>
    <row r="108" spans="1:56" s="41" customFormat="1" ht="25.5" customHeight="1">
      <c r="A108" s="408"/>
      <c r="B108" s="38" t="s">
        <v>63</v>
      </c>
      <c r="C108" s="38"/>
      <c r="D108" s="39">
        <v>0</v>
      </c>
      <c r="E108" s="39"/>
      <c r="F108" s="39"/>
      <c r="G108" s="39"/>
      <c r="H108" s="40">
        <f t="shared" si="19"/>
        <v>0</v>
      </c>
      <c r="I108" s="39"/>
      <c r="J108" s="39"/>
      <c r="K108" s="39"/>
      <c r="L108" s="39"/>
      <c r="M108" s="39">
        <f t="shared" si="22"/>
        <v>0</v>
      </c>
      <c r="N108" s="39">
        <f t="shared" si="23"/>
        <v>0</v>
      </c>
      <c r="O108" s="39">
        <f t="shared" si="24"/>
        <v>0</v>
      </c>
      <c r="P108" s="39">
        <f t="shared" si="25"/>
        <v>0</v>
      </c>
      <c r="Q108" s="39">
        <f t="shared" si="30"/>
        <v>0</v>
      </c>
      <c r="R108" s="39">
        <f t="shared" si="35"/>
        <v>0</v>
      </c>
      <c r="S108" s="39">
        <f t="shared" si="26"/>
        <v>0</v>
      </c>
      <c r="T108" s="39">
        <f t="shared" si="27"/>
        <v>0</v>
      </c>
      <c r="U108" s="39">
        <f t="shared" si="28"/>
        <v>0</v>
      </c>
      <c r="V108" s="39">
        <f t="shared" si="29"/>
        <v>0</v>
      </c>
      <c r="W108" s="39">
        <f t="shared" si="36"/>
        <v>0</v>
      </c>
      <c r="X108" s="75"/>
      <c r="Y108" s="75">
        <v>0</v>
      </c>
      <c r="Z108" s="75">
        <v>4</v>
      </c>
      <c r="AA108" s="75">
        <v>1</v>
      </c>
      <c r="AB108" s="75">
        <v>1</v>
      </c>
      <c r="AC108" s="75">
        <v>1</v>
      </c>
      <c r="AD108" s="75">
        <v>1</v>
      </c>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91"/>
      <c r="BB108" s="75"/>
      <c r="BC108" s="75"/>
      <c r="BD108" s="75"/>
    </row>
    <row r="109" spans="1:56" s="41" customFormat="1" ht="52.5" customHeight="1">
      <c r="A109" s="408"/>
      <c r="B109" s="38" t="s">
        <v>278</v>
      </c>
      <c r="C109" s="38"/>
      <c r="D109" s="39"/>
      <c r="E109" s="39"/>
      <c r="F109" s="39"/>
      <c r="G109" s="39"/>
      <c r="H109" s="40">
        <f t="shared" si="19"/>
        <v>0</v>
      </c>
      <c r="I109" s="39"/>
      <c r="J109" s="39"/>
      <c r="K109" s="39"/>
      <c r="L109" s="39">
        <v>10000000</v>
      </c>
      <c r="M109" s="39">
        <f t="shared" si="22"/>
        <v>10000000</v>
      </c>
      <c r="N109" s="39">
        <f t="shared" si="23"/>
        <v>0</v>
      </c>
      <c r="O109" s="39">
        <f t="shared" si="24"/>
        <v>0</v>
      </c>
      <c r="P109" s="39">
        <f t="shared" si="25"/>
        <v>0</v>
      </c>
      <c r="Q109" s="39">
        <f t="shared" si="30"/>
        <v>10400000</v>
      </c>
      <c r="R109" s="39">
        <f t="shared" si="35"/>
        <v>10400000</v>
      </c>
      <c r="S109" s="39">
        <f t="shared" si="26"/>
        <v>0</v>
      </c>
      <c r="T109" s="39">
        <f t="shared" si="27"/>
        <v>0</v>
      </c>
      <c r="U109" s="39">
        <f t="shared" si="28"/>
        <v>0</v>
      </c>
      <c r="V109" s="39">
        <f t="shared" si="29"/>
        <v>10816000</v>
      </c>
      <c r="W109" s="39">
        <f t="shared" si="36"/>
        <v>10816000</v>
      </c>
      <c r="X109" s="75"/>
      <c r="Y109" s="75">
        <v>0</v>
      </c>
      <c r="Z109" s="75">
        <v>1</v>
      </c>
      <c r="AA109" s="75">
        <v>0</v>
      </c>
      <c r="AB109" s="75">
        <v>0</v>
      </c>
      <c r="AC109" s="75">
        <v>1</v>
      </c>
      <c r="AD109" s="75">
        <v>0</v>
      </c>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row>
    <row r="110" spans="1:56" s="41" customFormat="1" ht="30.75" customHeight="1">
      <c r="A110" s="408"/>
      <c r="B110" s="38" t="s">
        <v>76</v>
      </c>
      <c r="C110" s="38"/>
      <c r="D110" s="39"/>
      <c r="E110" s="39"/>
      <c r="F110" s="39"/>
      <c r="G110" s="39"/>
      <c r="H110" s="40">
        <f t="shared" si="19"/>
        <v>0</v>
      </c>
      <c r="I110" s="39"/>
      <c r="J110" s="39"/>
      <c r="K110" s="39"/>
      <c r="L110" s="39">
        <v>30000000</v>
      </c>
      <c r="M110" s="39">
        <f t="shared" si="22"/>
        <v>30000000</v>
      </c>
      <c r="N110" s="39">
        <f t="shared" si="23"/>
        <v>0</v>
      </c>
      <c r="O110" s="39">
        <f t="shared" si="24"/>
        <v>0</v>
      </c>
      <c r="P110" s="39">
        <f t="shared" si="25"/>
        <v>0</v>
      </c>
      <c r="Q110" s="39">
        <f t="shared" si="30"/>
        <v>31200000</v>
      </c>
      <c r="R110" s="39">
        <f t="shared" si="35"/>
        <v>31200000</v>
      </c>
      <c r="S110" s="39">
        <f t="shared" si="26"/>
        <v>0</v>
      </c>
      <c r="T110" s="39">
        <f t="shared" si="27"/>
        <v>0</v>
      </c>
      <c r="U110" s="39">
        <f t="shared" si="28"/>
        <v>0</v>
      </c>
      <c r="V110" s="39">
        <f t="shared" si="29"/>
        <v>32448000</v>
      </c>
      <c r="W110" s="39">
        <f t="shared" si="36"/>
        <v>32448000</v>
      </c>
      <c r="X110" s="75"/>
      <c r="Y110" s="75">
        <v>0</v>
      </c>
      <c r="Z110" s="75">
        <v>4</v>
      </c>
      <c r="AA110" s="75">
        <v>0</v>
      </c>
      <c r="AB110" s="75">
        <v>2</v>
      </c>
      <c r="AC110" s="75">
        <v>2</v>
      </c>
      <c r="AD110" s="75">
        <v>0</v>
      </c>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row>
    <row r="111" spans="1:56" s="41" customFormat="1" ht="41.25" customHeight="1">
      <c r="A111" s="408"/>
      <c r="B111" s="38" t="s">
        <v>64</v>
      </c>
      <c r="C111" s="38"/>
      <c r="D111" s="39"/>
      <c r="E111" s="39">
        <v>900000</v>
      </c>
      <c r="F111" s="39"/>
      <c r="G111" s="39"/>
      <c r="H111" s="40">
        <f t="shared" si="19"/>
        <v>900000</v>
      </c>
      <c r="I111" s="39"/>
      <c r="J111" s="39"/>
      <c r="K111" s="39"/>
      <c r="L111" s="39"/>
      <c r="M111" s="39">
        <f t="shared" si="22"/>
        <v>0</v>
      </c>
      <c r="N111" s="39">
        <f t="shared" si="23"/>
        <v>0</v>
      </c>
      <c r="O111" s="39">
        <f t="shared" si="24"/>
        <v>0</v>
      </c>
      <c r="P111" s="39">
        <f t="shared" si="25"/>
        <v>0</v>
      </c>
      <c r="Q111" s="39">
        <f t="shared" si="30"/>
        <v>0</v>
      </c>
      <c r="R111" s="39">
        <f t="shared" si="35"/>
        <v>0</v>
      </c>
      <c r="S111" s="39">
        <f t="shared" si="26"/>
        <v>0</v>
      </c>
      <c r="T111" s="39">
        <f t="shared" si="27"/>
        <v>0</v>
      </c>
      <c r="U111" s="39">
        <f t="shared" si="28"/>
        <v>0</v>
      </c>
      <c r="V111" s="39">
        <f t="shared" si="29"/>
        <v>0</v>
      </c>
      <c r="W111" s="39">
        <f t="shared" si="36"/>
        <v>0</v>
      </c>
      <c r="X111" s="75"/>
      <c r="Y111" s="75">
        <v>0</v>
      </c>
      <c r="Z111" s="75">
        <v>4</v>
      </c>
      <c r="AA111" s="75">
        <v>1</v>
      </c>
      <c r="AB111" s="75">
        <v>1</v>
      </c>
      <c r="AC111" s="75">
        <v>1</v>
      </c>
      <c r="AD111" s="75">
        <v>1</v>
      </c>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91"/>
      <c r="BB111" s="75"/>
      <c r="BC111" s="75"/>
      <c r="BD111" s="75"/>
    </row>
    <row r="112" spans="1:56" s="11" customFormat="1" ht="15">
      <c r="A112" s="407"/>
      <c r="B112" s="31" t="s">
        <v>342</v>
      </c>
      <c r="C112" s="31"/>
      <c r="D112" s="33">
        <f>SUM(D107:D111)</f>
        <v>0</v>
      </c>
      <c r="E112" s="33">
        <f aca="true" t="shared" si="38" ref="E112:W112">SUM(E107:E111)</f>
        <v>28900000</v>
      </c>
      <c r="F112" s="33">
        <f t="shared" si="38"/>
        <v>0</v>
      </c>
      <c r="G112" s="33">
        <f t="shared" si="38"/>
        <v>0</v>
      </c>
      <c r="H112" s="33">
        <f t="shared" si="38"/>
        <v>28900000</v>
      </c>
      <c r="I112" s="33">
        <f t="shared" si="38"/>
        <v>0</v>
      </c>
      <c r="J112" s="33">
        <f t="shared" si="38"/>
        <v>0</v>
      </c>
      <c r="K112" s="33">
        <f t="shared" si="38"/>
        <v>0</v>
      </c>
      <c r="L112" s="33">
        <f t="shared" si="38"/>
        <v>40000000</v>
      </c>
      <c r="M112" s="33">
        <f t="shared" si="38"/>
        <v>40000000</v>
      </c>
      <c r="N112" s="33">
        <f t="shared" si="38"/>
        <v>0</v>
      </c>
      <c r="O112" s="33">
        <f t="shared" si="38"/>
        <v>0</v>
      </c>
      <c r="P112" s="33">
        <f t="shared" si="38"/>
        <v>0</v>
      </c>
      <c r="Q112" s="33">
        <f t="shared" si="38"/>
        <v>41600000</v>
      </c>
      <c r="R112" s="33">
        <f t="shared" si="38"/>
        <v>41600000</v>
      </c>
      <c r="S112" s="33">
        <f t="shared" si="38"/>
        <v>0</v>
      </c>
      <c r="T112" s="33">
        <f t="shared" si="38"/>
        <v>0</v>
      </c>
      <c r="U112" s="33">
        <f t="shared" si="38"/>
        <v>0</v>
      </c>
      <c r="V112" s="33">
        <f t="shared" si="38"/>
        <v>43264000</v>
      </c>
      <c r="W112" s="33">
        <f t="shared" si="38"/>
        <v>43264000</v>
      </c>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row>
    <row r="113" spans="1:56" s="11" customFormat="1" ht="48">
      <c r="A113" s="406" t="s">
        <v>140</v>
      </c>
      <c r="B113" s="38" t="s">
        <v>139</v>
      </c>
      <c r="C113" s="38"/>
      <c r="D113" s="39"/>
      <c r="E113" s="39"/>
      <c r="F113" s="39"/>
      <c r="G113" s="39">
        <v>10000000</v>
      </c>
      <c r="H113" s="40">
        <f t="shared" si="19"/>
        <v>10000000</v>
      </c>
      <c r="I113" s="39"/>
      <c r="J113" s="39">
        <v>5000000</v>
      </c>
      <c r="K113" s="39"/>
      <c r="L113" s="39"/>
      <c r="M113" s="39">
        <f t="shared" si="22"/>
        <v>5000000</v>
      </c>
      <c r="N113" s="39">
        <f t="shared" si="23"/>
        <v>0</v>
      </c>
      <c r="O113" s="39">
        <f t="shared" si="24"/>
        <v>5200000</v>
      </c>
      <c r="P113" s="39">
        <f t="shared" si="25"/>
        <v>0</v>
      </c>
      <c r="Q113" s="39">
        <f t="shared" si="30"/>
        <v>0</v>
      </c>
      <c r="R113" s="39">
        <f t="shared" si="35"/>
        <v>5200000</v>
      </c>
      <c r="S113" s="39">
        <f t="shared" si="26"/>
        <v>0</v>
      </c>
      <c r="T113" s="39">
        <f t="shared" si="27"/>
        <v>5408000</v>
      </c>
      <c r="U113" s="39">
        <f t="shared" si="28"/>
        <v>0</v>
      </c>
      <c r="V113" s="39">
        <f t="shared" si="29"/>
        <v>0</v>
      </c>
      <c r="W113" s="39">
        <f t="shared" si="36"/>
        <v>5408000</v>
      </c>
      <c r="X113" s="76"/>
      <c r="Y113" s="76">
        <v>0</v>
      </c>
      <c r="Z113" s="76">
        <v>4</v>
      </c>
      <c r="AA113" s="76">
        <v>1</v>
      </c>
      <c r="AB113" s="76">
        <v>1</v>
      </c>
      <c r="AC113" s="76">
        <v>1</v>
      </c>
      <c r="AD113" s="76">
        <v>1</v>
      </c>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91"/>
      <c r="BB113" s="76"/>
      <c r="BC113" s="76"/>
      <c r="BD113" s="76"/>
    </row>
    <row r="114" spans="1:56" s="11" customFormat="1" ht="36">
      <c r="A114" s="408"/>
      <c r="B114" s="38" t="s">
        <v>279</v>
      </c>
      <c r="C114" s="38"/>
      <c r="D114" s="39"/>
      <c r="E114" s="39"/>
      <c r="F114" s="39"/>
      <c r="G114" s="39">
        <v>20000000</v>
      </c>
      <c r="H114" s="40">
        <f t="shared" si="19"/>
        <v>20000000</v>
      </c>
      <c r="I114" s="39"/>
      <c r="J114" s="39"/>
      <c r="K114" s="39"/>
      <c r="L114" s="39"/>
      <c r="M114" s="39">
        <f t="shared" si="22"/>
        <v>0</v>
      </c>
      <c r="N114" s="39">
        <f t="shared" si="23"/>
        <v>0</v>
      </c>
      <c r="O114" s="39">
        <f t="shared" si="24"/>
        <v>0</v>
      </c>
      <c r="P114" s="39">
        <f t="shared" si="25"/>
        <v>0</v>
      </c>
      <c r="Q114" s="39">
        <f t="shared" si="30"/>
        <v>0</v>
      </c>
      <c r="R114" s="39">
        <f t="shared" si="35"/>
        <v>0</v>
      </c>
      <c r="S114" s="39">
        <f t="shared" si="26"/>
        <v>0</v>
      </c>
      <c r="T114" s="39">
        <f t="shared" si="27"/>
        <v>0</v>
      </c>
      <c r="U114" s="39">
        <f t="shared" si="28"/>
        <v>0</v>
      </c>
      <c r="V114" s="39">
        <f t="shared" si="29"/>
        <v>0</v>
      </c>
      <c r="W114" s="39">
        <f t="shared" si="36"/>
        <v>0</v>
      </c>
      <c r="X114" s="76"/>
      <c r="Y114" s="76">
        <v>0</v>
      </c>
      <c r="Z114" s="76">
        <v>1</v>
      </c>
      <c r="AA114" s="76">
        <v>1</v>
      </c>
      <c r="AB114" s="76">
        <v>1</v>
      </c>
      <c r="AC114" s="76">
        <v>1</v>
      </c>
      <c r="AD114" s="76">
        <v>1</v>
      </c>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91"/>
      <c r="BB114" s="76"/>
      <c r="BC114" s="76"/>
      <c r="BD114" s="76"/>
    </row>
    <row r="115" spans="1:56" s="11" customFormat="1" ht="76.5" customHeight="1">
      <c r="A115" s="408"/>
      <c r="B115" s="43" t="s">
        <v>280</v>
      </c>
      <c r="C115" s="43"/>
      <c r="D115" s="39"/>
      <c r="E115" s="39">
        <v>630000</v>
      </c>
      <c r="F115" s="39"/>
      <c r="G115" s="39">
        <v>40000000</v>
      </c>
      <c r="H115" s="40">
        <f t="shared" si="19"/>
        <v>40630000</v>
      </c>
      <c r="I115" s="39"/>
      <c r="J115" s="39">
        <v>40000000</v>
      </c>
      <c r="K115" s="39"/>
      <c r="L115" s="39"/>
      <c r="M115" s="39">
        <f t="shared" si="22"/>
        <v>40000000</v>
      </c>
      <c r="N115" s="39">
        <f t="shared" si="23"/>
        <v>0</v>
      </c>
      <c r="O115" s="39">
        <f t="shared" si="24"/>
        <v>41600000</v>
      </c>
      <c r="P115" s="39">
        <f t="shared" si="25"/>
        <v>0</v>
      </c>
      <c r="Q115" s="39">
        <f t="shared" si="30"/>
        <v>0</v>
      </c>
      <c r="R115" s="39">
        <f t="shared" si="35"/>
        <v>41600000</v>
      </c>
      <c r="S115" s="39">
        <f t="shared" si="26"/>
        <v>0</v>
      </c>
      <c r="T115" s="39">
        <f t="shared" si="27"/>
        <v>43264000</v>
      </c>
      <c r="U115" s="39">
        <f t="shared" si="28"/>
        <v>0</v>
      </c>
      <c r="V115" s="39">
        <f t="shared" si="29"/>
        <v>0</v>
      </c>
      <c r="W115" s="39">
        <f t="shared" si="36"/>
        <v>43264000</v>
      </c>
      <c r="X115" s="76"/>
      <c r="Y115" s="76">
        <v>0</v>
      </c>
      <c r="Z115" s="76">
        <v>1</v>
      </c>
      <c r="AA115" s="76">
        <v>0</v>
      </c>
      <c r="AB115" s="76">
        <v>1</v>
      </c>
      <c r="AC115" s="76">
        <v>0</v>
      </c>
      <c r="AD115" s="76">
        <v>0</v>
      </c>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row>
    <row r="116" spans="1:56" s="11" customFormat="1" ht="15">
      <c r="A116" s="407"/>
      <c r="B116" s="31" t="s">
        <v>342</v>
      </c>
      <c r="C116" s="31"/>
      <c r="D116" s="33">
        <f>SUM(D113:D115)</f>
        <v>0</v>
      </c>
      <c r="E116" s="33">
        <f aca="true" t="shared" si="39" ref="E116:W116">SUM(E113:E115)</f>
        <v>630000</v>
      </c>
      <c r="F116" s="33">
        <f t="shared" si="39"/>
        <v>0</v>
      </c>
      <c r="G116" s="33">
        <f t="shared" si="39"/>
        <v>70000000</v>
      </c>
      <c r="H116" s="33">
        <f t="shared" si="39"/>
        <v>70630000</v>
      </c>
      <c r="I116" s="33">
        <f t="shared" si="39"/>
        <v>0</v>
      </c>
      <c r="J116" s="33">
        <f t="shared" si="39"/>
        <v>45000000</v>
      </c>
      <c r="K116" s="33">
        <f t="shared" si="39"/>
        <v>0</v>
      </c>
      <c r="L116" s="33">
        <f t="shared" si="39"/>
        <v>0</v>
      </c>
      <c r="M116" s="33">
        <f t="shared" si="39"/>
        <v>45000000</v>
      </c>
      <c r="N116" s="33">
        <f t="shared" si="39"/>
        <v>0</v>
      </c>
      <c r="O116" s="33">
        <f t="shared" si="39"/>
        <v>46800000</v>
      </c>
      <c r="P116" s="33">
        <f t="shared" si="39"/>
        <v>0</v>
      </c>
      <c r="Q116" s="33">
        <f t="shared" si="39"/>
        <v>0</v>
      </c>
      <c r="R116" s="33">
        <f t="shared" si="39"/>
        <v>46800000</v>
      </c>
      <c r="S116" s="33">
        <f t="shared" si="39"/>
        <v>0</v>
      </c>
      <c r="T116" s="33">
        <f t="shared" si="39"/>
        <v>48672000</v>
      </c>
      <c r="U116" s="33">
        <f t="shared" si="39"/>
        <v>0</v>
      </c>
      <c r="V116" s="33">
        <f t="shared" si="39"/>
        <v>0</v>
      </c>
      <c r="W116" s="33">
        <f t="shared" si="39"/>
        <v>48672000</v>
      </c>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row>
    <row r="117" spans="1:56" s="11" customFormat="1" ht="87.75" customHeight="1">
      <c r="A117" s="406" t="s">
        <v>141</v>
      </c>
      <c r="B117" s="43" t="s">
        <v>281</v>
      </c>
      <c r="C117" s="43"/>
      <c r="D117" s="39"/>
      <c r="E117" s="39">
        <v>800000</v>
      </c>
      <c r="F117" s="39"/>
      <c r="G117" s="39"/>
      <c r="H117" s="40">
        <f t="shared" si="19"/>
        <v>800000</v>
      </c>
      <c r="I117" s="39"/>
      <c r="J117" s="39">
        <v>2000000</v>
      </c>
      <c r="K117" s="39"/>
      <c r="L117" s="39"/>
      <c r="M117" s="39">
        <f t="shared" si="22"/>
        <v>2000000</v>
      </c>
      <c r="N117" s="39">
        <f t="shared" si="23"/>
        <v>0</v>
      </c>
      <c r="O117" s="39">
        <f t="shared" si="24"/>
        <v>2080000</v>
      </c>
      <c r="P117" s="39">
        <f t="shared" si="25"/>
        <v>0</v>
      </c>
      <c r="Q117" s="39">
        <f t="shared" si="30"/>
        <v>0</v>
      </c>
      <c r="R117" s="39">
        <f t="shared" si="35"/>
        <v>2080000</v>
      </c>
      <c r="S117" s="39">
        <f t="shared" si="26"/>
        <v>0</v>
      </c>
      <c r="T117" s="39">
        <f t="shared" si="27"/>
        <v>2163200</v>
      </c>
      <c r="U117" s="39">
        <f t="shared" si="28"/>
        <v>0</v>
      </c>
      <c r="V117" s="39">
        <f t="shared" si="29"/>
        <v>0</v>
      </c>
      <c r="W117" s="39">
        <f t="shared" si="36"/>
        <v>2163200</v>
      </c>
      <c r="X117" s="76"/>
      <c r="Y117" s="76">
        <v>0</v>
      </c>
      <c r="Z117" s="76">
        <v>12</v>
      </c>
      <c r="AA117" s="76">
        <v>3</v>
      </c>
      <c r="AB117" s="76">
        <v>3</v>
      </c>
      <c r="AC117" s="76">
        <v>3</v>
      </c>
      <c r="AD117" s="76">
        <v>3</v>
      </c>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91"/>
      <c r="BB117" s="76"/>
      <c r="BC117" s="76"/>
      <c r="BD117" s="76"/>
    </row>
    <row r="118" spans="1:56" s="11" customFormat="1" ht="51.75" customHeight="1">
      <c r="A118" s="408"/>
      <c r="B118" s="38" t="s">
        <v>142</v>
      </c>
      <c r="C118" s="38"/>
      <c r="D118" s="39"/>
      <c r="E118" s="39"/>
      <c r="F118" s="39"/>
      <c r="G118" s="39"/>
      <c r="H118" s="40">
        <f t="shared" si="19"/>
        <v>0</v>
      </c>
      <c r="I118" s="39"/>
      <c r="J118" s="39">
        <v>1500000</v>
      </c>
      <c r="K118" s="39"/>
      <c r="L118" s="39"/>
      <c r="M118" s="39">
        <f t="shared" si="22"/>
        <v>1500000</v>
      </c>
      <c r="N118" s="39">
        <f t="shared" si="23"/>
        <v>0</v>
      </c>
      <c r="O118" s="39">
        <f t="shared" si="24"/>
        <v>1560000</v>
      </c>
      <c r="P118" s="39">
        <f t="shared" si="25"/>
        <v>0</v>
      </c>
      <c r="Q118" s="39">
        <f t="shared" si="30"/>
        <v>0</v>
      </c>
      <c r="R118" s="39">
        <f t="shared" si="35"/>
        <v>1560000</v>
      </c>
      <c r="S118" s="39">
        <f t="shared" si="26"/>
        <v>0</v>
      </c>
      <c r="T118" s="39">
        <f t="shared" si="27"/>
        <v>1622400</v>
      </c>
      <c r="U118" s="39">
        <f t="shared" si="28"/>
        <v>0</v>
      </c>
      <c r="V118" s="39">
        <f t="shared" si="29"/>
        <v>0</v>
      </c>
      <c r="W118" s="39">
        <f t="shared" si="36"/>
        <v>1622400</v>
      </c>
      <c r="X118" s="76"/>
      <c r="Y118" s="76">
        <v>0</v>
      </c>
      <c r="Z118" s="76">
        <v>4</v>
      </c>
      <c r="AA118" s="76">
        <v>1</v>
      </c>
      <c r="AB118" s="76">
        <v>1</v>
      </c>
      <c r="AC118" s="76">
        <v>1</v>
      </c>
      <c r="AD118" s="76">
        <v>1</v>
      </c>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91"/>
      <c r="BB118" s="76"/>
      <c r="BC118" s="76"/>
      <c r="BD118" s="76"/>
    </row>
    <row r="119" spans="1:56" s="11" customFormat="1" ht="41.25" customHeight="1">
      <c r="A119" s="408"/>
      <c r="B119" s="38" t="s">
        <v>143</v>
      </c>
      <c r="C119" s="38"/>
      <c r="D119" s="39"/>
      <c r="E119" s="39"/>
      <c r="F119" s="39"/>
      <c r="G119" s="39"/>
      <c r="H119" s="40">
        <f t="shared" si="19"/>
        <v>0</v>
      </c>
      <c r="I119" s="39"/>
      <c r="J119" s="39">
        <v>1000000</v>
      </c>
      <c r="K119" s="39"/>
      <c r="L119" s="39"/>
      <c r="M119" s="39">
        <f t="shared" si="22"/>
        <v>1000000</v>
      </c>
      <c r="N119" s="39">
        <f t="shared" si="23"/>
        <v>0</v>
      </c>
      <c r="O119" s="39">
        <f t="shared" si="24"/>
        <v>1040000</v>
      </c>
      <c r="P119" s="39">
        <f t="shared" si="25"/>
        <v>0</v>
      </c>
      <c r="Q119" s="39">
        <f t="shared" si="30"/>
        <v>0</v>
      </c>
      <c r="R119" s="39">
        <f t="shared" si="35"/>
        <v>1040000</v>
      </c>
      <c r="S119" s="39">
        <f t="shared" si="26"/>
        <v>0</v>
      </c>
      <c r="T119" s="39">
        <f t="shared" si="27"/>
        <v>1081600</v>
      </c>
      <c r="U119" s="39">
        <f t="shared" si="28"/>
        <v>0</v>
      </c>
      <c r="V119" s="39">
        <f t="shared" si="29"/>
        <v>0</v>
      </c>
      <c r="W119" s="39">
        <f t="shared" si="36"/>
        <v>1081600</v>
      </c>
      <c r="X119" s="76"/>
      <c r="Y119" s="76">
        <v>0</v>
      </c>
      <c r="Z119" s="76">
        <v>1</v>
      </c>
      <c r="AA119" s="76">
        <v>0</v>
      </c>
      <c r="AB119" s="76">
        <v>0</v>
      </c>
      <c r="AC119" s="76">
        <v>1</v>
      </c>
      <c r="AD119" s="76">
        <v>0</v>
      </c>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row>
    <row r="120" spans="1:56" s="11" customFormat="1" ht="15">
      <c r="A120" s="407"/>
      <c r="B120" s="31" t="s">
        <v>342</v>
      </c>
      <c r="C120" s="31"/>
      <c r="D120" s="33">
        <f>+D117+D118+D119</f>
        <v>0</v>
      </c>
      <c r="E120" s="33">
        <f aca="true" t="shared" si="40" ref="E120:W120">+E117+E118+E119</f>
        <v>800000</v>
      </c>
      <c r="F120" s="33">
        <f t="shared" si="40"/>
        <v>0</v>
      </c>
      <c r="G120" s="33">
        <f t="shared" si="40"/>
        <v>0</v>
      </c>
      <c r="H120" s="33">
        <f t="shared" si="40"/>
        <v>800000</v>
      </c>
      <c r="I120" s="33">
        <f t="shared" si="40"/>
        <v>0</v>
      </c>
      <c r="J120" s="33">
        <f t="shared" si="40"/>
        <v>4500000</v>
      </c>
      <c r="K120" s="33">
        <f t="shared" si="40"/>
        <v>0</v>
      </c>
      <c r="L120" s="33">
        <f t="shared" si="40"/>
        <v>0</v>
      </c>
      <c r="M120" s="33">
        <f t="shared" si="40"/>
        <v>4500000</v>
      </c>
      <c r="N120" s="33">
        <f t="shared" si="40"/>
        <v>0</v>
      </c>
      <c r="O120" s="33">
        <f t="shared" si="40"/>
        <v>4680000</v>
      </c>
      <c r="P120" s="33">
        <f t="shared" si="40"/>
        <v>0</v>
      </c>
      <c r="Q120" s="33">
        <f t="shared" si="40"/>
        <v>0</v>
      </c>
      <c r="R120" s="33">
        <f t="shared" si="40"/>
        <v>4680000</v>
      </c>
      <c r="S120" s="33">
        <f t="shared" si="40"/>
        <v>0</v>
      </c>
      <c r="T120" s="33">
        <f t="shared" si="40"/>
        <v>4867200</v>
      </c>
      <c r="U120" s="33">
        <f t="shared" si="40"/>
        <v>0</v>
      </c>
      <c r="V120" s="33">
        <f t="shared" si="40"/>
        <v>0</v>
      </c>
      <c r="W120" s="33">
        <f t="shared" si="40"/>
        <v>4867200</v>
      </c>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row>
    <row r="121" spans="1:56" s="11" customFormat="1" ht="50.25" customHeight="1">
      <c r="A121" s="406" t="s">
        <v>144</v>
      </c>
      <c r="B121" s="38" t="s">
        <v>282</v>
      </c>
      <c r="C121" s="38"/>
      <c r="D121" s="39">
        <v>10000000</v>
      </c>
      <c r="E121" s="39"/>
      <c r="F121" s="39"/>
      <c r="G121" s="39"/>
      <c r="H121" s="40">
        <f t="shared" si="19"/>
        <v>10000000</v>
      </c>
      <c r="I121" s="39"/>
      <c r="J121" s="39"/>
      <c r="K121" s="39"/>
      <c r="L121" s="39"/>
      <c r="M121" s="39"/>
      <c r="N121" s="39"/>
      <c r="O121" s="39"/>
      <c r="P121" s="39"/>
      <c r="Q121" s="39"/>
      <c r="R121" s="39"/>
      <c r="S121" s="39"/>
      <c r="T121" s="39"/>
      <c r="U121" s="39"/>
      <c r="V121" s="39"/>
      <c r="W121" s="39"/>
      <c r="X121" s="76"/>
      <c r="Y121" s="76">
        <v>0</v>
      </c>
      <c r="Z121" s="76">
        <v>100</v>
      </c>
      <c r="AA121" s="76">
        <v>25</v>
      </c>
      <c r="AB121" s="76">
        <v>25</v>
      </c>
      <c r="AC121" s="76">
        <v>25</v>
      </c>
      <c r="AD121" s="76">
        <v>25</v>
      </c>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91"/>
      <c r="BB121" s="76"/>
      <c r="BC121" s="76"/>
      <c r="BD121" s="76"/>
    </row>
    <row r="122" spans="1:56" s="11" customFormat="1" ht="26.25" customHeight="1">
      <c r="A122" s="408"/>
      <c r="B122" s="38" t="s">
        <v>283</v>
      </c>
      <c r="C122" s="38"/>
      <c r="D122" s="39"/>
      <c r="E122" s="39">
        <v>600000</v>
      </c>
      <c r="F122" s="39"/>
      <c r="G122" s="39"/>
      <c r="H122" s="40">
        <f t="shared" si="19"/>
        <v>600000</v>
      </c>
      <c r="I122" s="39"/>
      <c r="J122" s="39"/>
      <c r="K122" s="39"/>
      <c r="L122" s="39"/>
      <c r="M122" s="39">
        <f t="shared" si="22"/>
        <v>0</v>
      </c>
      <c r="N122" s="39">
        <f t="shared" si="23"/>
        <v>0</v>
      </c>
      <c r="O122" s="39">
        <f t="shared" si="24"/>
        <v>0</v>
      </c>
      <c r="P122" s="39">
        <f t="shared" si="25"/>
        <v>0</v>
      </c>
      <c r="Q122" s="39">
        <f t="shared" si="30"/>
        <v>0</v>
      </c>
      <c r="R122" s="39">
        <f t="shared" si="35"/>
        <v>0</v>
      </c>
      <c r="S122" s="39">
        <f t="shared" si="26"/>
        <v>0</v>
      </c>
      <c r="T122" s="39">
        <f t="shared" si="27"/>
        <v>0</v>
      </c>
      <c r="U122" s="39">
        <f t="shared" si="28"/>
        <v>0</v>
      </c>
      <c r="V122" s="39">
        <f t="shared" si="29"/>
        <v>0</v>
      </c>
      <c r="W122" s="39">
        <f t="shared" si="36"/>
        <v>0</v>
      </c>
      <c r="X122" s="76"/>
      <c r="Y122" s="76">
        <v>0</v>
      </c>
      <c r="Z122" s="92">
        <v>1</v>
      </c>
      <c r="AA122" s="92">
        <v>1</v>
      </c>
      <c r="AB122" s="92">
        <v>1</v>
      </c>
      <c r="AC122" s="92">
        <v>1</v>
      </c>
      <c r="AD122" s="92">
        <v>1</v>
      </c>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91"/>
      <c r="BB122" s="76"/>
      <c r="BC122" s="76"/>
      <c r="BD122" s="76"/>
    </row>
    <row r="123" spans="1:56" s="11" customFormat="1" ht="29.25" customHeight="1">
      <c r="A123" s="408"/>
      <c r="B123" s="38" t="s">
        <v>337</v>
      </c>
      <c r="C123" s="38"/>
      <c r="D123" s="39"/>
      <c r="E123" s="39"/>
      <c r="F123" s="39"/>
      <c r="G123" s="39"/>
      <c r="H123" s="40"/>
      <c r="I123" s="39"/>
      <c r="J123" s="39"/>
      <c r="K123" s="39"/>
      <c r="L123" s="39"/>
      <c r="M123" s="39"/>
      <c r="N123" s="39"/>
      <c r="O123" s="39"/>
      <c r="P123" s="39"/>
      <c r="Q123" s="39"/>
      <c r="R123" s="39"/>
      <c r="S123" s="39"/>
      <c r="T123" s="39"/>
      <c r="U123" s="39"/>
      <c r="V123" s="39"/>
      <c r="W123" s="39"/>
      <c r="X123" s="76"/>
      <c r="Y123" s="76">
        <v>0</v>
      </c>
      <c r="Z123" s="76">
        <v>1</v>
      </c>
      <c r="AA123" s="76">
        <v>1</v>
      </c>
      <c r="AB123" s="76">
        <v>1</v>
      </c>
      <c r="AC123" s="76">
        <v>1</v>
      </c>
      <c r="AD123" s="76">
        <v>1</v>
      </c>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t="s">
        <v>375</v>
      </c>
      <c r="BB123" s="76"/>
      <c r="BC123" s="76"/>
      <c r="BD123" s="76"/>
    </row>
    <row r="124" spans="1:56" s="11" customFormat="1" ht="15">
      <c r="A124" s="407"/>
      <c r="B124" s="31" t="s">
        <v>342</v>
      </c>
      <c r="C124" s="31"/>
      <c r="D124" s="33">
        <f>SUM(D121:D123)</f>
        <v>10000000</v>
      </c>
      <c r="E124" s="33">
        <f aca="true" t="shared" si="41" ref="E124:W124">SUM(E121:E123)</f>
        <v>600000</v>
      </c>
      <c r="F124" s="33">
        <f t="shared" si="41"/>
        <v>0</v>
      </c>
      <c r="G124" s="33">
        <f t="shared" si="41"/>
        <v>0</v>
      </c>
      <c r="H124" s="33">
        <f t="shared" si="41"/>
        <v>10600000</v>
      </c>
      <c r="I124" s="33">
        <f t="shared" si="41"/>
        <v>0</v>
      </c>
      <c r="J124" s="33">
        <f t="shared" si="41"/>
        <v>0</v>
      </c>
      <c r="K124" s="33">
        <f t="shared" si="41"/>
        <v>0</v>
      </c>
      <c r="L124" s="33">
        <f t="shared" si="41"/>
        <v>0</v>
      </c>
      <c r="M124" s="33">
        <f t="shared" si="41"/>
        <v>0</v>
      </c>
      <c r="N124" s="33">
        <f t="shared" si="41"/>
        <v>0</v>
      </c>
      <c r="O124" s="33">
        <f t="shared" si="41"/>
        <v>0</v>
      </c>
      <c r="P124" s="33">
        <f t="shared" si="41"/>
        <v>0</v>
      </c>
      <c r="Q124" s="33">
        <f t="shared" si="41"/>
        <v>0</v>
      </c>
      <c r="R124" s="33">
        <f t="shared" si="41"/>
        <v>0</v>
      </c>
      <c r="S124" s="33">
        <f t="shared" si="41"/>
        <v>0</v>
      </c>
      <c r="T124" s="33">
        <f t="shared" si="41"/>
        <v>0</v>
      </c>
      <c r="U124" s="33">
        <f t="shared" si="41"/>
        <v>0</v>
      </c>
      <c r="V124" s="33">
        <f t="shared" si="41"/>
        <v>0</v>
      </c>
      <c r="W124" s="33">
        <f t="shared" si="41"/>
        <v>0</v>
      </c>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row>
    <row r="125" spans="1:56" s="16" customFormat="1" ht="15">
      <c r="A125" s="394" t="s">
        <v>65</v>
      </c>
      <c r="B125" s="395"/>
      <c r="C125" s="65"/>
      <c r="D125" s="52">
        <v>8000000</v>
      </c>
      <c r="E125" s="53">
        <v>26257438</v>
      </c>
      <c r="F125" s="52"/>
      <c r="G125" s="53">
        <v>33766244</v>
      </c>
      <c r="H125" s="51">
        <f>D125+E125+F125+G125</f>
        <v>68023682</v>
      </c>
      <c r="I125" s="51">
        <v>8320000</v>
      </c>
      <c r="J125" s="51">
        <v>27434364</v>
      </c>
      <c r="K125" s="51"/>
      <c r="L125" s="51">
        <v>27560000</v>
      </c>
      <c r="M125" s="51">
        <f>I125+J125+K125+L125</f>
        <v>63314364</v>
      </c>
      <c r="N125" s="53">
        <v>8652800</v>
      </c>
      <c r="O125" s="53">
        <v>27491739</v>
      </c>
      <c r="P125" s="53"/>
      <c r="Q125" s="53">
        <v>28662400</v>
      </c>
      <c r="R125" s="53">
        <v>64806939</v>
      </c>
      <c r="S125" s="53">
        <v>8998912</v>
      </c>
      <c r="T125" s="53">
        <v>28591408</v>
      </c>
      <c r="U125" s="53"/>
      <c r="V125" s="53">
        <v>29808896</v>
      </c>
      <c r="W125" s="53">
        <v>67399216</v>
      </c>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row>
    <row r="126" spans="1:56" s="41" customFormat="1" ht="38.25" customHeight="1">
      <c r="A126" s="406" t="s">
        <v>145</v>
      </c>
      <c r="B126" s="38" t="s">
        <v>147</v>
      </c>
      <c r="C126" s="38"/>
      <c r="D126" s="39"/>
      <c r="E126" s="39">
        <f>5666769+10650889</f>
        <v>16317658</v>
      </c>
      <c r="F126" s="39"/>
      <c r="G126" s="39">
        <v>0</v>
      </c>
      <c r="H126" s="40">
        <f t="shared" si="19"/>
        <v>16317658</v>
      </c>
      <c r="I126" s="39"/>
      <c r="J126" s="39">
        <f>5893440+11076925</f>
        <v>16970365</v>
      </c>
      <c r="K126" s="39"/>
      <c r="L126" s="39"/>
      <c r="M126" s="39">
        <f aca="true" t="shared" si="42" ref="M126:M205">SUM(I126:L126)</f>
        <v>16970365</v>
      </c>
      <c r="N126" s="39">
        <f aca="true" t="shared" si="43" ref="N126:N139">+I126*4%+I126</f>
        <v>0</v>
      </c>
      <c r="O126" s="39">
        <f aca="true" t="shared" si="44" ref="O126:O139">+J126*4%+J126</f>
        <v>17649179.6</v>
      </c>
      <c r="P126" s="39">
        <f aca="true" t="shared" si="45" ref="P126:P139">+K126*4%+K126</f>
        <v>0</v>
      </c>
      <c r="Q126" s="39">
        <f aca="true" t="shared" si="46" ref="Q126:Q139">+L126*4%+L126</f>
        <v>0</v>
      </c>
      <c r="R126" s="39">
        <f>SUM(N126:Q126)</f>
        <v>17649179.6</v>
      </c>
      <c r="S126" s="39">
        <f aca="true" t="shared" si="47" ref="S126:S150">+N126*4%+N126</f>
        <v>0</v>
      </c>
      <c r="T126" s="39">
        <f aca="true" t="shared" si="48" ref="T126:T150">+O126*4%+O126</f>
        <v>18355146.784</v>
      </c>
      <c r="U126" s="39">
        <f aca="true" t="shared" si="49" ref="U126:U150">+P126*4%+P126</f>
        <v>0</v>
      </c>
      <c r="V126" s="39">
        <f aca="true" t="shared" si="50" ref="V126:V150">+Q126*4%+Q126</f>
        <v>0</v>
      </c>
      <c r="W126" s="39">
        <f t="shared" si="36"/>
        <v>18355146.784</v>
      </c>
      <c r="X126" s="75"/>
      <c r="Y126" s="75">
        <v>0</v>
      </c>
      <c r="Z126" s="75">
        <v>8</v>
      </c>
      <c r="AA126" s="75">
        <v>2</v>
      </c>
      <c r="AB126" s="75">
        <v>2</v>
      </c>
      <c r="AC126" s="75">
        <v>2</v>
      </c>
      <c r="AD126" s="75">
        <v>2</v>
      </c>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91"/>
      <c r="BB126" s="75"/>
      <c r="BC126" s="75"/>
      <c r="BD126" s="75"/>
    </row>
    <row r="127" spans="1:56" s="41" customFormat="1" ht="40.5" customHeight="1">
      <c r="A127" s="408"/>
      <c r="B127" s="38" t="s">
        <v>148</v>
      </c>
      <c r="C127" s="38"/>
      <c r="D127" s="39"/>
      <c r="E127" s="39">
        <v>0</v>
      </c>
      <c r="F127" s="39"/>
      <c r="G127" s="39">
        <v>13000000</v>
      </c>
      <c r="H127" s="40">
        <f t="shared" si="19"/>
        <v>13000000</v>
      </c>
      <c r="I127" s="39"/>
      <c r="J127" s="39"/>
      <c r="K127" s="39"/>
      <c r="L127" s="39"/>
      <c r="M127" s="39">
        <f t="shared" si="42"/>
        <v>0</v>
      </c>
      <c r="N127" s="39">
        <f t="shared" si="43"/>
        <v>0</v>
      </c>
      <c r="O127" s="39">
        <f t="shared" si="44"/>
        <v>0</v>
      </c>
      <c r="P127" s="39">
        <f t="shared" si="45"/>
        <v>0</v>
      </c>
      <c r="Q127" s="39">
        <f t="shared" si="46"/>
        <v>0</v>
      </c>
      <c r="R127" s="39">
        <f aca="true" t="shared" si="51" ref="R127:R150">SUM(N127:Q127)</f>
        <v>0</v>
      </c>
      <c r="S127" s="39">
        <f t="shared" si="47"/>
        <v>0</v>
      </c>
      <c r="T127" s="39">
        <f t="shared" si="48"/>
        <v>0</v>
      </c>
      <c r="U127" s="39">
        <f t="shared" si="49"/>
        <v>0</v>
      </c>
      <c r="V127" s="39">
        <f t="shared" si="50"/>
        <v>0</v>
      </c>
      <c r="W127" s="39">
        <f t="shared" si="36"/>
        <v>0</v>
      </c>
      <c r="X127" s="75"/>
      <c r="Y127" s="75">
        <v>0</v>
      </c>
      <c r="Z127" s="75">
        <v>1</v>
      </c>
      <c r="AA127" s="86">
        <v>0.25</v>
      </c>
      <c r="AB127" s="86">
        <v>0.25</v>
      </c>
      <c r="AC127" s="86">
        <v>0.25</v>
      </c>
      <c r="AD127" s="86">
        <v>0.25</v>
      </c>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91"/>
      <c r="BB127" s="75"/>
      <c r="BC127" s="75"/>
      <c r="BD127" s="75"/>
    </row>
    <row r="128" spans="1:56" s="41" customFormat="1" ht="48" customHeight="1">
      <c r="A128" s="408"/>
      <c r="B128" s="38" t="s">
        <v>146</v>
      </c>
      <c r="C128" s="38"/>
      <c r="D128" s="39"/>
      <c r="E128" s="39"/>
      <c r="F128" s="39"/>
      <c r="G128" s="39">
        <v>3500000</v>
      </c>
      <c r="H128" s="40">
        <f t="shared" si="19"/>
        <v>3500000</v>
      </c>
      <c r="I128" s="39"/>
      <c r="J128" s="39"/>
      <c r="K128" s="39"/>
      <c r="L128" s="39">
        <v>3640000</v>
      </c>
      <c r="M128" s="39">
        <f t="shared" si="42"/>
        <v>3640000</v>
      </c>
      <c r="N128" s="39">
        <f t="shared" si="43"/>
        <v>0</v>
      </c>
      <c r="O128" s="39">
        <f t="shared" si="44"/>
        <v>0</v>
      </c>
      <c r="P128" s="39">
        <f t="shared" si="45"/>
        <v>0</v>
      </c>
      <c r="Q128" s="39">
        <f t="shared" si="46"/>
        <v>3785600</v>
      </c>
      <c r="R128" s="39">
        <f t="shared" si="51"/>
        <v>3785600</v>
      </c>
      <c r="S128" s="39">
        <f t="shared" si="47"/>
        <v>0</v>
      </c>
      <c r="T128" s="39">
        <f t="shared" si="48"/>
        <v>0</v>
      </c>
      <c r="U128" s="39">
        <f t="shared" si="49"/>
        <v>0</v>
      </c>
      <c r="V128" s="39">
        <f t="shared" si="50"/>
        <v>3937024</v>
      </c>
      <c r="W128" s="39">
        <f t="shared" si="36"/>
        <v>3937024</v>
      </c>
      <c r="X128" s="75"/>
      <c r="Y128" s="75">
        <v>0</v>
      </c>
      <c r="Z128" s="75">
        <v>2</v>
      </c>
      <c r="AA128" s="75">
        <v>0</v>
      </c>
      <c r="AB128" s="75">
        <v>0</v>
      </c>
      <c r="AC128" s="75">
        <v>1</v>
      </c>
      <c r="AD128" s="75">
        <v>1</v>
      </c>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row>
    <row r="129" spans="1:56" s="41" customFormat="1" ht="27" customHeight="1">
      <c r="A129" s="408"/>
      <c r="B129" s="38" t="s">
        <v>284</v>
      </c>
      <c r="C129" s="38"/>
      <c r="D129" s="39"/>
      <c r="E129" s="39">
        <v>5000000</v>
      </c>
      <c r="F129" s="39"/>
      <c r="G129" s="39"/>
      <c r="H129" s="40">
        <f t="shared" si="19"/>
        <v>5000000</v>
      </c>
      <c r="I129" s="39"/>
      <c r="J129" s="39"/>
      <c r="K129" s="39"/>
      <c r="L129" s="39">
        <f>13000000+520000</f>
        <v>13520000</v>
      </c>
      <c r="M129" s="39">
        <f t="shared" si="42"/>
        <v>13520000</v>
      </c>
      <c r="N129" s="39">
        <f t="shared" si="43"/>
        <v>0</v>
      </c>
      <c r="O129" s="39">
        <f t="shared" si="44"/>
        <v>0</v>
      </c>
      <c r="P129" s="39">
        <f t="shared" si="45"/>
        <v>0</v>
      </c>
      <c r="Q129" s="39">
        <f t="shared" si="46"/>
        <v>14060800</v>
      </c>
      <c r="R129" s="39">
        <f t="shared" si="51"/>
        <v>14060800</v>
      </c>
      <c r="S129" s="39">
        <f t="shared" si="47"/>
        <v>0</v>
      </c>
      <c r="T129" s="39">
        <f t="shared" si="48"/>
        <v>0</v>
      </c>
      <c r="U129" s="39">
        <f t="shared" si="49"/>
        <v>0</v>
      </c>
      <c r="V129" s="39">
        <f t="shared" si="50"/>
        <v>14623232</v>
      </c>
      <c r="W129" s="39">
        <f t="shared" si="36"/>
        <v>14623232</v>
      </c>
      <c r="X129" s="75"/>
      <c r="Y129" s="75">
        <v>0</v>
      </c>
      <c r="Z129" s="75">
        <v>1</v>
      </c>
      <c r="AA129" s="75">
        <v>1</v>
      </c>
      <c r="AB129" s="75">
        <v>0</v>
      </c>
      <c r="AC129" s="75">
        <v>0</v>
      </c>
      <c r="AD129" s="75">
        <v>0</v>
      </c>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91"/>
      <c r="BB129" s="75"/>
      <c r="BC129" s="75"/>
      <c r="BD129" s="75"/>
    </row>
    <row r="130" spans="1:56" s="41" customFormat="1" ht="60">
      <c r="A130" s="408"/>
      <c r="B130" s="38" t="s">
        <v>149</v>
      </c>
      <c r="C130" s="38"/>
      <c r="D130" s="39"/>
      <c r="E130" s="39"/>
      <c r="F130" s="39"/>
      <c r="G130" s="39"/>
      <c r="H130" s="40">
        <f t="shared" si="19"/>
        <v>0</v>
      </c>
      <c r="I130" s="39"/>
      <c r="J130" s="39"/>
      <c r="K130" s="39"/>
      <c r="L130" s="39">
        <v>10400000</v>
      </c>
      <c r="M130" s="39">
        <f t="shared" si="42"/>
        <v>10400000</v>
      </c>
      <c r="N130" s="39">
        <f t="shared" si="43"/>
        <v>0</v>
      </c>
      <c r="O130" s="39">
        <f t="shared" si="44"/>
        <v>0</v>
      </c>
      <c r="P130" s="39">
        <f t="shared" si="45"/>
        <v>0</v>
      </c>
      <c r="Q130" s="39">
        <f t="shared" si="46"/>
        <v>10816000</v>
      </c>
      <c r="R130" s="39">
        <f t="shared" si="51"/>
        <v>10816000</v>
      </c>
      <c r="S130" s="39">
        <f t="shared" si="47"/>
        <v>0</v>
      </c>
      <c r="T130" s="39">
        <f t="shared" si="48"/>
        <v>0</v>
      </c>
      <c r="U130" s="39">
        <f t="shared" si="49"/>
        <v>0</v>
      </c>
      <c r="V130" s="39">
        <f t="shared" si="50"/>
        <v>11248640</v>
      </c>
      <c r="W130" s="39">
        <f t="shared" si="36"/>
        <v>11248640</v>
      </c>
      <c r="X130" s="75"/>
      <c r="Y130" s="75">
        <v>0</v>
      </c>
      <c r="Z130" s="75">
        <v>1</v>
      </c>
      <c r="AA130" s="75">
        <v>0</v>
      </c>
      <c r="AB130" s="75">
        <v>1</v>
      </c>
      <c r="AC130" s="75">
        <v>0</v>
      </c>
      <c r="AD130" s="75">
        <v>0</v>
      </c>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row>
    <row r="131" spans="1:56" s="41" customFormat="1" ht="39.75" customHeight="1">
      <c r="A131" s="408"/>
      <c r="B131" s="38" t="s">
        <v>54</v>
      </c>
      <c r="C131" s="38"/>
      <c r="D131" s="39"/>
      <c r="E131" s="39">
        <v>939780</v>
      </c>
      <c r="F131" s="39"/>
      <c r="G131" s="39">
        <v>4984306</v>
      </c>
      <c r="H131" s="40">
        <f t="shared" si="19"/>
        <v>5924086</v>
      </c>
      <c r="I131" s="39"/>
      <c r="J131" s="39">
        <v>4160000</v>
      </c>
      <c r="K131" s="39"/>
      <c r="L131" s="39"/>
      <c r="M131" s="39">
        <f t="shared" si="42"/>
        <v>4160000</v>
      </c>
      <c r="N131" s="39">
        <f t="shared" si="43"/>
        <v>0</v>
      </c>
      <c r="O131" s="39">
        <f t="shared" si="44"/>
        <v>4326400</v>
      </c>
      <c r="P131" s="39">
        <f t="shared" si="45"/>
        <v>0</v>
      </c>
      <c r="Q131" s="39">
        <f t="shared" si="46"/>
        <v>0</v>
      </c>
      <c r="R131" s="39">
        <f t="shared" si="51"/>
        <v>4326400</v>
      </c>
      <c r="S131" s="39">
        <f t="shared" si="47"/>
        <v>0</v>
      </c>
      <c r="T131" s="39">
        <f t="shared" si="48"/>
        <v>4499456</v>
      </c>
      <c r="U131" s="39">
        <f t="shared" si="49"/>
        <v>0</v>
      </c>
      <c r="V131" s="39">
        <f t="shared" si="50"/>
        <v>0</v>
      </c>
      <c r="W131" s="39">
        <f t="shared" si="36"/>
        <v>4499456</v>
      </c>
      <c r="X131" s="75"/>
      <c r="Y131" s="75">
        <v>0</v>
      </c>
      <c r="Z131" s="86">
        <v>1</v>
      </c>
      <c r="AA131" s="86">
        <v>0.25</v>
      </c>
      <c r="AB131" s="86">
        <v>0.25</v>
      </c>
      <c r="AC131" s="86">
        <v>0.5</v>
      </c>
      <c r="AD131" s="75">
        <v>0</v>
      </c>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91"/>
      <c r="BB131" s="75"/>
      <c r="BC131" s="75"/>
      <c r="BD131" s="75"/>
    </row>
    <row r="132" spans="1:56" s="41" customFormat="1" ht="36">
      <c r="A132" s="408"/>
      <c r="B132" s="38" t="s">
        <v>150</v>
      </c>
      <c r="C132" s="38"/>
      <c r="D132" s="39"/>
      <c r="E132" s="39">
        <v>4000000</v>
      </c>
      <c r="F132" s="39"/>
      <c r="G132" s="39"/>
      <c r="H132" s="40">
        <f t="shared" si="19"/>
        <v>4000000</v>
      </c>
      <c r="I132" s="39"/>
      <c r="J132" s="39"/>
      <c r="K132" s="39"/>
      <c r="L132" s="39"/>
      <c r="M132" s="39">
        <f t="shared" si="42"/>
        <v>0</v>
      </c>
      <c r="N132" s="39">
        <f t="shared" si="43"/>
        <v>0</v>
      </c>
      <c r="O132" s="39">
        <f t="shared" si="44"/>
        <v>0</v>
      </c>
      <c r="P132" s="39">
        <f t="shared" si="45"/>
        <v>0</v>
      </c>
      <c r="Q132" s="39">
        <f t="shared" si="46"/>
        <v>0</v>
      </c>
      <c r="R132" s="39">
        <f t="shared" si="51"/>
        <v>0</v>
      </c>
      <c r="S132" s="39">
        <f t="shared" si="47"/>
        <v>0</v>
      </c>
      <c r="T132" s="39">
        <f t="shared" si="48"/>
        <v>0</v>
      </c>
      <c r="U132" s="39">
        <f t="shared" si="49"/>
        <v>0</v>
      </c>
      <c r="V132" s="39">
        <f t="shared" si="50"/>
        <v>0</v>
      </c>
      <c r="W132" s="39">
        <f t="shared" si="36"/>
        <v>0</v>
      </c>
      <c r="X132" s="75"/>
      <c r="Y132" s="75">
        <v>0</v>
      </c>
      <c r="Z132" s="86">
        <v>1</v>
      </c>
      <c r="AA132" s="75">
        <v>0</v>
      </c>
      <c r="AB132" s="86">
        <v>0.5</v>
      </c>
      <c r="AC132" s="86">
        <v>0.5</v>
      </c>
      <c r="AD132" s="75">
        <v>0</v>
      </c>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row>
    <row r="133" spans="1:56" s="41" customFormat="1" ht="49.5" customHeight="1">
      <c r="A133" s="408"/>
      <c r="B133" s="38" t="s">
        <v>151</v>
      </c>
      <c r="C133" s="38"/>
      <c r="D133" s="39">
        <v>4000000</v>
      </c>
      <c r="E133" s="39"/>
      <c r="F133" s="39"/>
      <c r="G133" s="39">
        <v>4881938</v>
      </c>
      <c r="H133" s="40">
        <f t="shared" si="19"/>
        <v>8881938</v>
      </c>
      <c r="I133" s="39">
        <f>+D133*4%+D133</f>
        <v>4160000</v>
      </c>
      <c r="J133" s="39"/>
      <c r="K133" s="39"/>
      <c r="L133" s="39"/>
      <c r="M133" s="39">
        <f t="shared" si="42"/>
        <v>4160000</v>
      </c>
      <c r="N133" s="39">
        <f t="shared" si="43"/>
        <v>4326400</v>
      </c>
      <c r="O133" s="39">
        <f t="shared" si="44"/>
        <v>0</v>
      </c>
      <c r="P133" s="39">
        <f t="shared" si="45"/>
        <v>0</v>
      </c>
      <c r="Q133" s="39">
        <f t="shared" si="46"/>
        <v>0</v>
      </c>
      <c r="R133" s="39">
        <f t="shared" si="51"/>
        <v>4326400</v>
      </c>
      <c r="S133" s="39">
        <f t="shared" si="47"/>
        <v>4499456</v>
      </c>
      <c r="T133" s="39">
        <f t="shared" si="48"/>
        <v>0</v>
      </c>
      <c r="U133" s="39">
        <f t="shared" si="49"/>
        <v>0</v>
      </c>
      <c r="V133" s="39">
        <f t="shared" si="50"/>
        <v>0</v>
      </c>
      <c r="W133" s="39">
        <f t="shared" si="36"/>
        <v>4499456</v>
      </c>
      <c r="X133" s="75"/>
      <c r="Y133" s="75">
        <v>0</v>
      </c>
      <c r="Z133" s="75">
        <v>1</v>
      </c>
      <c r="AA133" s="86">
        <v>0.25</v>
      </c>
      <c r="AB133" s="86">
        <v>0.25</v>
      </c>
      <c r="AC133" s="86">
        <v>0.25</v>
      </c>
      <c r="AD133" s="86">
        <v>0.25</v>
      </c>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91"/>
      <c r="BB133" s="75"/>
      <c r="BC133" s="75"/>
      <c r="BD133" s="75"/>
    </row>
    <row r="134" spans="1:56" s="41" customFormat="1" ht="29.25" customHeight="1">
      <c r="A134" s="408"/>
      <c r="B134" s="38" t="s">
        <v>152</v>
      </c>
      <c r="C134" s="38"/>
      <c r="D134" s="39"/>
      <c r="E134" s="39"/>
      <c r="F134" s="39"/>
      <c r="G134" s="39">
        <v>3400000</v>
      </c>
      <c r="H134" s="40">
        <f t="shared" si="19"/>
        <v>3400000</v>
      </c>
      <c r="I134" s="39"/>
      <c r="J134" s="39">
        <f>5200000+207998-103999</f>
        <v>5303999</v>
      </c>
      <c r="K134" s="39"/>
      <c r="L134" s="39"/>
      <c r="M134" s="39">
        <f t="shared" si="42"/>
        <v>5303999</v>
      </c>
      <c r="N134" s="39">
        <f t="shared" si="43"/>
        <v>0</v>
      </c>
      <c r="O134" s="39">
        <f t="shared" si="44"/>
        <v>5516158.96</v>
      </c>
      <c r="P134" s="39">
        <f t="shared" si="45"/>
        <v>0</v>
      </c>
      <c r="Q134" s="39">
        <f t="shared" si="46"/>
        <v>0</v>
      </c>
      <c r="R134" s="39">
        <f t="shared" si="51"/>
        <v>5516158.96</v>
      </c>
      <c r="S134" s="39">
        <f t="shared" si="47"/>
        <v>0</v>
      </c>
      <c r="T134" s="39">
        <f t="shared" si="48"/>
        <v>5736805.3184</v>
      </c>
      <c r="U134" s="39">
        <f t="shared" si="49"/>
        <v>0</v>
      </c>
      <c r="V134" s="39">
        <f t="shared" si="50"/>
        <v>0</v>
      </c>
      <c r="W134" s="39">
        <f t="shared" si="36"/>
        <v>5736805.3184</v>
      </c>
      <c r="X134" s="75"/>
      <c r="Y134" s="75">
        <v>0</v>
      </c>
      <c r="Z134" s="75">
        <v>20</v>
      </c>
      <c r="AA134" s="75">
        <v>5</v>
      </c>
      <c r="AB134" s="75">
        <v>5</v>
      </c>
      <c r="AC134" s="75">
        <v>5</v>
      </c>
      <c r="AD134" s="75">
        <v>5</v>
      </c>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91"/>
      <c r="BB134" s="75"/>
      <c r="BC134" s="75"/>
      <c r="BD134" s="75"/>
    </row>
    <row r="135" spans="1:56" s="41" customFormat="1" ht="39" customHeight="1">
      <c r="A135" s="408"/>
      <c r="B135" s="38" t="s">
        <v>153</v>
      </c>
      <c r="C135" s="38"/>
      <c r="D135" s="39">
        <v>1000000</v>
      </c>
      <c r="E135" s="39"/>
      <c r="F135" s="39"/>
      <c r="G135" s="39"/>
      <c r="H135" s="40">
        <f t="shared" si="19"/>
        <v>1000000</v>
      </c>
      <c r="I135" s="39">
        <f>+D135*4%+D135</f>
        <v>1040000</v>
      </c>
      <c r="J135" s="39"/>
      <c r="K135" s="39"/>
      <c r="L135" s="39"/>
      <c r="M135" s="39">
        <f t="shared" si="42"/>
        <v>1040000</v>
      </c>
      <c r="N135" s="39">
        <f t="shared" si="43"/>
        <v>1081600</v>
      </c>
      <c r="O135" s="39">
        <f t="shared" si="44"/>
        <v>0</v>
      </c>
      <c r="P135" s="39">
        <f t="shared" si="45"/>
        <v>0</v>
      </c>
      <c r="Q135" s="39">
        <f t="shared" si="46"/>
        <v>0</v>
      </c>
      <c r="R135" s="39">
        <f t="shared" si="51"/>
        <v>1081600</v>
      </c>
      <c r="S135" s="39">
        <f t="shared" si="47"/>
        <v>1124864</v>
      </c>
      <c r="T135" s="39">
        <f t="shared" si="48"/>
        <v>0</v>
      </c>
      <c r="U135" s="39">
        <f t="shared" si="49"/>
        <v>0</v>
      </c>
      <c r="V135" s="39">
        <f t="shared" si="50"/>
        <v>0</v>
      </c>
      <c r="W135" s="39">
        <f t="shared" si="36"/>
        <v>1124864</v>
      </c>
      <c r="X135" s="75"/>
      <c r="Y135" s="86">
        <v>0.2</v>
      </c>
      <c r="Z135" s="86">
        <v>1</v>
      </c>
      <c r="AA135" s="86">
        <v>0.2</v>
      </c>
      <c r="AB135" s="86">
        <v>0.2</v>
      </c>
      <c r="AC135" s="86">
        <v>0.2</v>
      </c>
      <c r="AD135" s="86">
        <v>0.2</v>
      </c>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91" t="s">
        <v>375</v>
      </c>
      <c r="BB135" s="75"/>
      <c r="BC135" s="75"/>
      <c r="BD135" s="75"/>
    </row>
    <row r="136" spans="1:56" s="41" customFormat="1" ht="22.5" customHeight="1">
      <c r="A136" s="408"/>
      <c r="B136" s="38" t="s">
        <v>154</v>
      </c>
      <c r="C136" s="38"/>
      <c r="D136" s="39">
        <v>3000000</v>
      </c>
      <c r="E136" s="39"/>
      <c r="F136" s="39"/>
      <c r="G136" s="39"/>
      <c r="H136" s="40">
        <f t="shared" si="19"/>
        <v>3000000</v>
      </c>
      <c r="I136" s="39">
        <f>+D136*4%+D136</f>
        <v>3120000</v>
      </c>
      <c r="J136" s="39"/>
      <c r="K136" s="39"/>
      <c r="L136" s="39"/>
      <c r="M136" s="39">
        <f t="shared" si="42"/>
        <v>3120000</v>
      </c>
      <c r="N136" s="39">
        <f t="shared" si="43"/>
        <v>3244800</v>
      </c>
      <c r="O136" s="39">
        <f t="shared" si="44"/>
        <v>0</v>
      </c>
      <c r="P136" s="39">
        <f t="shared" si="45"/>
        <v>0</v>
      </c>
      <c r="Q136" s="39">
        <f t="shared" si="46"/>
        <v>0</v>
      </c>
      <c r="R136" s="39">
        <f t="shared" si="51"/>
        <v>3244800</v>
      </c>
      <c r="S136" s="39">
        <f t="shared" si="47"/>
        <v>3374592</v>
      </c>
      <c r="T136" s="39">
        <f t="shared" si="48"/>
        <v>0</v>
      </c>
      <c r="U136" s="39">
        <f t="shared" si="49"/>
        <v>0</v>
      </c>
      <c r="V136" s="39">
        <f t="shared" si="50"/>
        <v>0</v>
      </c>
      <c r="W136" s="39">
        <f t="shared" si="36"/>
        <v>3374592</v>
      </c>
      <c r="X136" s="75"/>
      <c r="Y136" s="75">
        <v>0</v>
      </c>
      <c r="Z136" s="75">
        <v>2</v>
      </c>
      <c r="AA136" s="75">
        <v>1</v>
      </c>
      <c r="AB136" s="75">
        <v>1</v>
      </c>
      <c r="AC136" s="75">
        <v>0</v>
      </c>
      <c r="AD136" s="75">
        <v>0</v>
      </c>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91"/>
      <c r="BB136" s="75"/>
      <c r="BC136" s="75"/>
      <c r="BD136" s="75"/>
    </row>
    <row r="137" spans="1:56" s="41" customFormat="1" ht="37.5" customHeight="1">
      <c r="A137" s="408"/>
      <c r="B137" s="38" t="s">
        <v>285</v>
      </c>
      <c r="C137" s="38"/>
      <c r="D137" s="39"/>
      <c r="E137" s="39"/>
      <c r="F137" s="39"/>
      <c r="G137" s="39">
        <v>2000000</v>
      </c>
      <c r="H137" s="40">
        <f>SUM(D137:G137)</f>
        <v>2000000</v>
      </c>
      <c r="I137" s="39"/>
      <c r="J137" s="39"/>
      <c r="K137" s="39"/>
      <c r="L137" s="39"/>
      <c r="M137" s="39">
        <f>SUM(I137:L137)</f>
        <v>0</v>
      </c>
      <c r="N137" s="39">
        <f>+I137*4%+I137</f>
        <v>0</v>
      </c>
      <c r="O137" s="39">
        <f>+J137*4%+J137</f>
        <v>0</v>
      </c>
      <c r="P137" s="39">
        <f>+K137*4%+K137</f>
        <v>0</v>
      </c>
      <c r="Q137" s="39">
        <f>+L137*4%+L137</f>
        <v>0</v>
      </c>
      <c r="R137" s="39">
        <f>SUM(N137:Q137)</f>
        <v>0</v>
      </c>
      <c r="S137" s="39">
        <f>+N137*4%+N137</f>
        <v>0</v>
      </c>
      <c r="T137" s="39">
        <f>+O137*4%+O137</f>
        <v>0</v>
      </c>
      <c r="U137" s="39">
        <f>+P137*4%+P137</f>
        <v>0</v>
      </c>
      <c r="V137" s="39">
        <f>+Q137*4%+Q137</f>
        <v>0</v>
      </c>
      <c r="W137" s="39">
        <f>SUM(S137:V137)</f>
        <v>0</v>
      </c>
      <c r="X137" s="75"/>
      <c r="Y137" s="75">
        <v>0</v>
      </c>
      <c r="Z137" s="75">
        <v>2</v>
      </c>
      <c r="AA137" s="75">
        <v>1</v>
      </c>
      <c r="AB137" s="75">
        <v>0</v>
      </c>
      <c r="AC137" s="75">
        <v>1</v>
      </c>
      <c r="AD137" s="75">
        <v>0</v>
      </c>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91"/>
      <c r="BB137" s="75"/>
      <c r="BC137" s="75"/>
      <c r="BD137" s="75"/>
    </row>
    <row r="138" spans="1:56" s="41" customFormat="1" ht="27" customHeight="1">
      <c r="A138" s="408"/>
      <c r="B138" s="38" t="s">
        <v>155</v>
      </c>
      <c r="C138" s="38"/>
      <c r="D138" s="39"/>
      <c r="E138" s="39"/>
      <c r="F138" s="39"/>
      <c r="G138" s="39"/>
      <c r="H138" s="40"/>
      <c r="I138" s="39"/>
      <c r="J138" s="39">
        <v>1000000</v>
      </c>
      <c r="K138" s="39"/>
      <c r="L138" s="39"/>
      <c r="M138" s="39">
        <f t="shared" si="42"/>
        <v>1000000</v>
      </c>
      <c r="N138" s="39"/>
      <c r="O138" s="39"/>
      <c r="P138" s="39"/>
      <c r="Q138" s="39"/>
      <c r="R138" s="39"/>
      <c r="S138" s="39"/>
      <c r="T138" s="39"/>
      <c r="U138" s="39"/>
      <c r="V138" s="39"/>
      <c r="W138" s="39"/>
      <c r="X138" s="75"/>
      <c r="Y138" s="75">
        <v>0</v>
      </c>
      <c r="Z138" s="86">
        <v>1</v>
      </c>
      <c r="AA138" s="86">
        <v>0.25</v>
      </c>
      <c r="AB138" s="86">
        <v>0.25</v>
      </c>
      <c r="AC138" s="86">
        <v>0.25</v>
      </c>
      <c r="AD138" s="86">
        <v>0.25</v>
      </c>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91"/>
      <c r="BB138" s="75"/>
      <c r="BC138" s="75"/>
      <c r="BD138" s="75"/>
    </row>
    <row r="139" spans="1:56" s="41" customFormat="1" ht="25.5" customHeight="1">
      <c r="A139" s="408"/>
      <c r="B139" s="38" t="s">
        <v>156</v>
      </c>
      <c r="C139" s="38"/>
      <c r="D139" s="39"/>
      <c r="E139" s="39"/>
      <c r="F139" s="39"/>
      <c r="G139" s="39">
        <v>2000000</v>
      </c>
      <c r="H139" s="40">
        <f t="shared" si="19"/>
        <v>2000000</v>
      </c>
      <c r="I139" s="39"/>
      <c r="J139" s="39"/>
      <c r="K139" s="39"/>
      <c r="L139" s="39"/>
      <c r="M139" s="39">
        <f t="shared" si="42"/>
        <v>0</v>
      </c>
      <c r="N139" s="39">
        <f t="shared" si="43"/>
        <v>0</v>
      </c>
      <c r="O139" s="39">
        <f t="shared" si="44"/>
        <v>0</v>
      </c>
      <c r="P139" s="39">
        <f t="shared" si="45"/>
        <v>0</v>
      </c>
      <c r="Q139" s="39">
        <f t="shared" si="46"/>
        <v>0</v>
      </c>
      <c r="R139" s="39">
        <f t="shared" si="51"/>
        <v>0</v>
      </c>
      <c r="S139" s="39">
        <f t="shared" si="47"/>
        <v>0</v>
      </c>
      <c r="T139" s="39">
        <f t="shared" si="48"/>
        <v>0</v>
      </c>
      <c r="U139" s="39">
        <f t="shared" si="49"/>
        <v>0</v>
      </c>
      <c r="V139" s="39">
        <f t="shared" si="50"/>
        <v>0</v>
      </c>
      <c r="W139" s="39">
        <f t="shared" si="36"/>
        <v>0</v>
      </c>
      <c r="X139" s="75"/>
      <c r="Y139" s="75">
        <v>0</v>
      </c>
      <c r="Z139" s="75">
        <v>1</v>
      </c>
      <c r="AA139" s="75">
        <v>0</v>
      </c>
      <c r="AB139" s="75">
        <v>0</v>
      </c>
      <c r="AC139" s="75">
        <v>0</v>
      </c>
      <c r="AD139" s="75">
        <v>1</v>
      </c>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row>
    <row r="140" spans="1:56" ht="15">
      <c r="A140" s="407"/>
      <c r="B140" s="31" t="s">
        <v>342</v>
      </c>
      <c r="C140" s="31"/>
      <c r="D140" s="33">
        <f>SUM(D126:D139)</f>
        <v>8000000</v>
      </c>
      <c r="E140" s="33">
        <f aca="true" t="shared" si="52" ref="E140:W140">SUM(E126:E139)</f>
        <v>26257438</v>
      </c>
      <c r="F140" s="33">
        <f t="shared" si="52"/>
        <v>0</v>
      </c>
      <c r="G140" s="33">
        <f t="shared" si="52"/>
        <v>33766244</v>
      </c>
      <c r="H140" s="33">
        <f t="shared" si="52"/>
        <v>68023682</v>
      </c>
      <c r="I140" s="33">
        <f t="shared" si="52"/>
        <v>8320000</v>
      </c>
      <c r="J140" s="33">
        <f t="shared" si="52"/>
        <v>27434364</v>
      </c>
      <c r="K140" s="33">
        <f t="shared" si="52"/>
        <v>0</v>
      </c>
      <c r="L140" s="33">
        <f t="shared" si="52"/>
        <v>27560000</v>
      </c>
      <c r="M140" s="33">
        <f t="shared" si="52"/>
        <v>63314364</v>
      </c>
      <c r="N140" s="33">
        <f t="shared" si="52"/>
        <v>8652800</v>
      </c>
      <c r="O140" s="33">
        <f t="shared" si="52"/>
        <v>27491738.560000002</v>
      </c>
      <c r="P140" s="33">
        <f t="shared" si="52"/>
        <v>0</v>
      </c>
      <c r="Q140" s="33">
        <f t="shared" si="52"/>
        <v>28662400</v>
      </c>
      <c r="R140" s="33">
        <f t="shared" si="52"/>
        <v>64806938.56</v>
      </c>
      <c r="S140" s="33">
        <f t="shared" si="52"/>
        <v>8998912</v>
      </c>
      <c r="T140" s="33">
        <f t="shared" si="52"/>
        <v>28591408.1024</v>
      </c>
      <c r="U140" s="33">
        <f t="shared" si="52"/>
        <v>0</v>
      </c>
      <c r="V140" s="33">
        <f t="shared" si="52"/>
        <v>29808896</v>
      </c>
      <c r="W140" s="33">
        <f t="shared" si="52"/>
        <v>67399216.1024</v>
      </c>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row>
    <row r="141" spans="1:56" s="11" customFormat="1" ht="15">
      <c r="A141" s="394" t="s">
        <v>66</v>
      </c>
      <c r="B141" s="395"/>
      <c r="C141" s="65"/>
      <c r="D141" s="52">
        <v>0</v>
      </c>
      <c r="E141" s="57">
        <v>38930643</v>
      </c>
      <c r="F141" s="52"/>
      <c r="G141" s="57">
        <v>18531411</v>
      </c>
      <c r="H141" s="51">
        <f>D141+E141+G141</f>
        <v>57462054</v>
      </c>
      <c r="I141" s="51"/>
      <c r="J141" s="51">
        <v>32745819</v>
      </c>
      <c r="K141" s="51"/>
      <c r="L141" s="51">
        <v>12020000</v>
      </c>
      <c r="M141" s="51">
        <f>I141+J141+K141+L141</f>
        <v>44765819</v>
      </c>
      <c r="N141" s="53"/>
      <c r="O141" s="53">
        <v>34055652</v>
      </c>
      <c r="P141" s="53"/>
      <c r="Q141" s="53">
        <v>2100800</v>
      </c>
      <c r="R141" s="53">
        <v>3615645</v>
      </c>
      <c r="S141" s="53"/>
      <c r="T141" s="53">
        <v>35417878</v>
      </c>
      <c r="U141" s="53"/>
      <c r="V141" s="53">
        <v>2184832</v>
      </c>
      <c r="W141" s="53">
        <v>36602710</v>
      </c>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row>
    <row r="142" spans="1:56" s="41" customFormat="1" ht="32.25" customHeight="1">
      <c r="A142" s="406" t="s">
        <v>157</v>
      </c>
      <c r="B142" s="45" t="s">
        <v>158</v>
      </c>
      <c r="C142" s="45"/>
      <c r="D142" s="39"/>
      <c r="E142" s="39">
        <v>2500000</v>
      </c>
      <c r="F142" s="39"/>
      <c r="G142" s="39"/>
      <c r="H142" s="40">
        <f t="shared" si="19"/>
        <v>2500000</v>
      </c>
      <c r="I142" s="39"/>
      <c r="J142" s="39"/>
      <c r="K142" s="39"/>
      <c r="L142" s="39"/>
      <c r="M142" s="39">
        <f t="shared" si="42"/>
        <v>0</v>
      </c>
      <c r="N142" s="39">
        <f aca="true" t="shared" si="53" ref="N142:N150">+I142*4%+I142</f>
        <v>0</v>
      </c>
      <c r="O142" s="39">
        <f aca="true" t="shared" si="54" ref="O142:O150">+J142*4%+J142</f>
        <v>0</v>
      </c>
      <c r="P142" s="39">
        <f aca="true" t="shared" si="55" ref="P142:P150">+K142*4%+K142</f>
        <v>0</v>
      </c>
      <c r="Q142" s="39">
        <f aca="true" t="shared" si="56" ref="Q142:Q150">+L142*4%+L142</f>
        <v>0</v>
      </c>
      <c r="R142" s="39">
        <f t="shared" si="51"/>
        <v>0</v>
      </c>
      <c r="S142" s="39">
        <f t="shared" si="47"/>
        <v>0</v>
      </c>
      <c r="T142" s="39">
        <f t="shared" si="48"/>
        <v>0</v>
      </c>
      <c r="U142" s="39">
        <f t="shared" si="49"/>
        <v>0</v>
      </c>
      <c r="V142" s="39">
        <f t="shared" si="50"/>
        <v>0</v>
      </c>
      <c r="W142" s="39">
        <f t="shared" si="36"/>
        <v>0</v>
      </c>
      <c r="X142" s="75"/>
      <c r="Y142" s="75">
        <v>0</v>
      </c>
      <c r="Z142" s="75">
        <v>10</v>
      </c>
      <c r="AA142" s="75">
        <v>2</v>
      </c>
      <c r="AB142" s="75">
        <v>3</v>
      </c>
      <c r="AC142" s="75">
        <v>3</v>
      </c>
      <c r="AD142" s="75">
        <v>2</v>
      </c>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91"/>
      <c r="BB142" s="75"/>
      <c r="BC142" s="75"/>
      <c r="BD142" s="75"/>
    </row>
    <row r="143" spans="1:56" s="41" customFormat="1" ht="35.25" customHeight="1">
      <c r="A143" s="408"/>
      <c r="B143" s="45" t="s">
        <v>159</v>
      </c>
      <c r="C143" s="45"/>
      <c r="D143" s="39"/>
      <c r="E143" s="39">
        <f>13200000-2500000-5000000</f>
        <v>5700000</v>
      </c>
      <c r="F143" s="39"/>
      <c r="G143" s="39"/>
      <c r="H143" s="40">
        <f t="shared" si="19"/>
        <v>5700000</v>
      </c>
      <c r="I143" s="39"/>
      <c r="J143" s="39">
        <v>5963953</v>
      </c>
      <c r="K143" s="39"/>
      <c r="L143" s="39"/>
      <c r="M143" s="39">
        <f t="shared" si="42"/>
        <v>5963953</v>
      </c>
      <c r="N143" s="39">
        <f t="shared" si="53"/>
        <v>0</v>
      </c>
      <c r="O143" s="39">
        <f t="shared" si="54"/>
        <v>6202511.12</v>
      </c>
      <c r="P143" s="39">
        <f t="shared" si="55"/>
        <v>0</v>
      </c>
      <c r="Q143" s="39">
        <f t="shared" si="56"/>
        <v>0</v>
      </c>
      <c r="R143" s="39">
        <f t="shared" si="51"/>
        <v>6202511.12</v>
      </c>
      <c r="S143" s="39">
        <f t="shared" si="47"/>
        <v>0</v>
      </c>
      <c r="T143" s="39">
        <f t="shared" si="48"/>
        <v>6450611.5648</v>
      </c>
      <c r="U143" s="39">
        <f t="shared" si="49"/>
        <v>0</v>
      </c>
      <c r="V143" s="39">
        <f t="shared" si="50"/>
        <v>0</v>
      </c>
      <c r="W143" s="39">
        <f t="shared" si="36"/>
        <v>6450611.5648</v>
      </c>
      <c r="X143" s="75"/>
      <c r="Y143" s="75">
        <v>0</v>
      </c>
      <c r="Z143" s="75">
        <v>1</v>
      </c>
      <c r="AA143" s="75">
        <v>0</v>
      </c>
      <c r="AB143" s="75">
        <v>1</v>
      </c>
      <c r="AC143" s="75">
        <v>0</v>
      </c>
      <c r="AD143" s="75">
        <v>0</v>
      </c>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row>
    <row r="144" spans="1:56" s="41" customFormat="1" ht="60" customHeight="1">
      <c r="A144" s="408"/>
      <c r="B144" s="45" t="s">
        <v>160</v>
      </c>
      <c r="C144" s="45"/>
      <c r="D144" s="39"/>
      <c r="E144" s="39">
        <v>5000000</v>
      </c>
      <c r="F144" s="39"/>
      <c r="G144" s="39"/>
      <c r="H144" s="40">
        <f t="shared" si="19"/>
        <v>5000000</v>
      </c>
      <c r="I144" s="39"/>
      <c r="J144" s="39">
        <v>5353866</v>
      </c>
      <c r="K144" s="39"/>
      <c r="L144" s="39"/>
      <c r="M144" s="39">
        <f t="shared" si="42"/>
        <v>5353866</v>
      </c>
      <c r="N144" s="39">
        <f t="shared" si="53"/>
        <v>0</v>
      </c>
      <c r="O144" s="39">
        <f t="shared" si="54"/>
        <v>5568020.64</v>
      </c>
      <c r="P144" s="39">
        <f t="shared" si="55"/>
        <v>0</v>
      </c>
      <c r="Q144" s="39">
        <f t="shared" si="56"/>
        <v>0</v>
      </c>
      <c r="R144" s="39">
        <f t="shared" si="51"/>
        <v>5568020.64</v>
      </c>
      <c r="S144" s="39">
        <f t="shared" si="47"/>
        <v>0</v>
      </c>
      <c r="T144" s="39">
        <f t="shared" si="48"/>
        <v>5790741.4656</v>
      </c>
      <c r="U144" s="39">
        <f t="shared" si="49"/>
        <v>0</v>
      </c>
      <c r="V144" s="39">
        <f t="shared" si="50"/>
        <v>0</v>
      </c>
      <c r="W144" s="39">
        <f t="shared" si="36"/>
        <v>5790741.4656</v>
      </c>
      <c r="X144" s="75"/>
      <c r="Y144" s="75">
        <v>0</v>
      </c>
      <c r="Z144" s="75">
        <v>25</v>
      </c>
      <c r="AA144" s="75">
        <v>15</v>
      </c>
      <c r="AB144" s="75">
        <v>10</v>
      </c>
      <c r="AC144" s="75">
        <v>0</v>
      </c>
      <c r="AD144" s="75">
        <v>0</v>
      </c>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91"/>
      <c r="BB144" s="75"/>
      <c r="BC144" s="75"/>
      <c r="BD144" s="75"/>
    </row>
    <row r="145" spans="1:56" s="41" customFormat="1" ht="40.5" customHeight="1">
      <c r="A145" s="408"/>
      <c r="B145" s="45" t="s">
        <v>161</v>
      </c>
      <c r="C145" s="45"/>
      <c r="D145" s="46"/>
      <c r="E145" s="47">
        <v>10000000</v>
      </c>
      <c r="F145" s="39"/>
      <c r="G145" s="39"/>
      <c r="H145" s="40">
        <f t="shared" si="19"/>
        <v>10000000</v>
      </c>
      <c r="I145" s="46"/>
      <c r="J145" s="48">
        <v>5200000</v>
      </c>
      <c r="K145" s="46"/>
      <c r="L145" s="46"/>
      <c r="M145" s="39">
        <f t="shared" si="42"/>
        <v>5200000</v>
      </c>
      <c r="N145" s="39">
        <f t="shared" si="53"/>
        <v>0</v>
      </c>
      <c r="O145" s="39">
        <f t="shared" si="54"/>
        <v>5408000</v>
      </c>
      <c r="P145" s="39">
        <f t="shared" si="55"/>
        <v>0</v>
      </c>
      <c r="Q145" s="39">
        <f t="shared" si="56"/>
        <v>0</v>
      </c>
      <c r="R145" s="39">
        <f t="shared" si="51"/>
        <v>5408000</v>
      </c>
      <c r="S145" s="39">
        <f t="shared" si="47"/>
        <v>0</v>
      </c>
      <c r="T145" s="39">
        <f t="shared" si="48"/>
        <v>5624320</v>
      </c>
      <c r="U145" s="39">
        <f t="shared" si="49"/>
        <v>0</v>
      </c>
      <c r="V145" s="39">
        <f t="shared" si="50"/>
        <v>0</v>
      </c>
      <c r="W145" s="39">
        <f t="shared" si="36"/>
        <v>5624320</v>
      </c>
      <c r="X145" s="75"/>
      <c r="Y145" s="75">
        <v>0</v>
      </c>
      <c r="Z145" s="75">
        <v>8</v>
      </c>
      <c r="AA145" s="75">
        <v>1</v>
      </c>
      <c r="AB145" s="75">
        <v>3</v>
      </c>
      <c r="AC145" s="75">
        <v>2</v>
      </c>
      <c r="AD145" s="75">
        <v>2</v>
      </c>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91"/>
      <c r="BB145" s="75"/>
      <c r="BC145" s="75"/>
      <c r="BD145" s="75"/>
    </row>
    <row r="146" spans="1:56" s="41" customFormat="1" ht="48">
      <c r="A146" s="408"/>
      <c r="B146" s="45" t="s">
        <v>363</v>
      </c>
      <c r="C146" s="45"/>
      <c r="D146" s="46"/>
      <c r="E146" s="47">
        <v>3955640</v>
      </c>
      <c r="F146" s="39"/>
      <c r="G146" s="39"/>
      <c r="H146" s="40">
        <f t="shared" si="19"/>
        <v>3955640</v>
      </c>
      <c r="I146" s="46"/>
      <c r="J146" s="46"/>
      <c r="K146" s="46"/>
      <c r="L146" s="48">
        <v>2020000</v>
      </c>
      <c r="M146" s="39">
        <f t="shared" si="42"/>
        <v>2020000</v>
      </c>
      <c r="N146" s="39">
        <f t="shared" si="53"/>
        <v>0</v>
      </c>
      <c r="O146" s="39">
        <f t="shared" si="54"/>
        <v>0</v>
      </c>
      <c r="P146" s="39">
        <f t="shared" si="55"/>
        <v>0</v>
      </c>
      <c r="Q146" s="39">
        <f t="shared" si="56"/>
        <v>2100800</v>
      </c>
      <c r="R146" s="39">
        <f t="shared" si="51"/>
        <v>2100800</v>
      </c>
      <c r="S146" s="39">
        <f t="shared" si="47"/>
        <v>0</v>
      </c>
      <c r="T146" s="39">
        <f t="shared" si="48"/>
        <v>0</v>
      </c>
      <c r="U146" s="39">
        <f t="shared" si="49"/>
        <v>0</v>
      </c>
      <c r="V146" s="39">
        <f t="shared" si="50"/>
        <v>2184832</v>
      </c>
      <c r="W146" s="39">
        <f t="shared" si="36"/>
        <v>2184832</v>
      </c>
      <c r="X146" s="75"/>
      <c r="Y146" s="75">
        <v>0</v>
      </c>
      <c r="Z146" s="75">
        <v>16</v>
      </c>
      <c r="AA146" s="75">
        <v>4</v>
      </c>
      <c r="AB146" s="75">
        <v>4</v>
      </c>
      <c r="AC146" s="75">
        <v>4</v>
      </c>
      <c r="AD146" s="75">
        <v>4</v>
      </c>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91"/>
      <c r="BB146" s="75"/>
      <c r="BC146" s="75"/>
      <c r="BD146" s="75"/>
    </row>
    <row r="147" spans="1:56" s="41" customFormat="1" ht="30" customHeight="1">
      <c r="A147" s="408"/>
      <c r="B147" s="45" t="s">
        <v>162</v>
      </c>
      <c r="C147" s="45"/>
      <c r="D147" s="46"/>
      <c r="E147" s="47">
        <f>5734570+40433</f>
        <v>5775003</v>
      </c>
      <c r="F147" s="39"/>
      <c r="G147" s="39">
        <v>16531411</v>
      </c>
      <c r="H147" s="40">
        <f t="shared" si="19"/>
        <v>22306414</v>
      </c>
      <c r="I147" s="46"/>
      <c r="J147" s="48">
        <v>6000000</v>
      </c>
      <c r="K147" s="46"/>
      <c r="L147" s="46"/>
      <c r="M147" s="39">
        <f t="shared" si="42"/>
        <v>6000000</v>
      </c>
      <c r="N147" s="39">
        <f t="shared" si="53"/>
        <v>0</v>
      </c>
      <c r="O147" s="39">
        <f t="shared" si="54"/>
        <v>6240000</v>
      </c>
      <c r="P147" s="39">
        <f t="shared" si="55"/>
        <v>0</v>
      </c>
      <c r="Q147" s="39">
        <f t="shared" si="56"/>
        <v>0</v>
      </c>
      <c r="R147" s="39">
        <f t="shared" si="51"/>
        <v>6240000</v>
      </c>
      <c r="S147" s="39">
        <f t="shared" si="47"/>
        <v>0</v>
      </c>
      <c r="T147" s="39">
        <f t="shared" si="48"/>
        <v>6489600</v>
      </c>
      <c r="U147" s="39">
        <f t="shared" si="49"/>
        <v>0</v>
      </c>
      <c r="V147" s="39">
        <f t="shared" si="50"/>
        <v>0</v>
      </c>
      <c r="W147" s="39">
        <f t="shared" si="36"/>
        <v>6489600</v>
      </c>
      <c r="X147" s="75"/>
      <c r="Y147" s="75">
        <v>0</v>
      </c>
      <c r="Z147" s="75">
        <v>7</v>
      </c>
      <c r="AA147" s="75">
        <v>7</v>
      </c>
      <c r="AB147" s="75">
        <v>7</v>
      </c>
      <c r="AC147" s="75">
        <v>7</v>
      </c>
      <c r="AD147" s="75">
        <v>7</v>
      </c>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91"/>
      <c r="BB147" s="75"/>
      <c r="BC147" s="75"/>
      <c r="BD147" s="75"/>
    </row>
    <row r="148" spans="1:56" s="41" customFormat="1" ht="30" customHeight="1">
      <c r="A148" s="408"/>
      <c r="B148" s="45" t="s">
        <v>163</v>
      </c>
      <c r="C148" s="45"/>
      <c r="D148" s="46"/>
      <c r="E148" s="47">
        <v>1000000</v>
      </c>
      <c r="F148" s="39"/>
      <c r="G148" s="39"/>
      <c r="H148" s="40"/>
      <c r="I148" s="46"/>
      <c r="J148" s="48"/>
      <c r="K148" s="46"/>
      <c r="L148" s="47">
        <v>10000000</v>
      </c>
      <c r="M148" s="39">
        <f t="shared" si="42"/>
        <v>10000000</v>
      </c>
      <c r="N148" s="39"/>
      <c r="O148" s="39"/>
      <c r="P148" s="39"/>
      <c r="Q148" s="39"/>
      <c r="R148" s="39"/>
      <c r="S148" s="39"/>
      <c r="T148" s="39"/>
      <c r="U148" s="39"/>
      <c r="V148" s="39"/>
      <c r="W148" s="39"/>
      <c r="X148" s="75"/>
      <c r="Y148" s="75">
        <v>0</v>
      </c>
      <c r="Z148" s="75">
        <v>7</v>
      </c>
      <c r="AA148" s="75">
        <v>7</v>
      </c>
      <c r="AB148" s="75">
        <v>7</v>
      </c>
      <c r="AC148" s="75">
        <v>7</v>
      </c>
      <c r="AD148" s="75">
        <v>7</v>
      </c>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91"/>
      <c r="BB148" s="75"/>
      <c r="BC148" s="75"/>
      <c r="BD148" s="75"/>
    </row>
    <row r="149" spans="1:56" s="41" customFormat="1" ht="38.25" customHeight="1">
      <c r="A149" s="408"/>
      <c r="B149" s="45" t="s">
        <v>286</v>
      </c>
      <c r="C149" s="45"/>
      <c r="D149" s="46"/>
      <c r="E149" s="47">
        <v>1000000</v>
      </c>
      <c r="F149" s="39"/>
      <c r="G149" s="39"/>
      <c r="H149" s="40">
        <f t="shared" si="19"/>
        <v>1000000</v>
      </c>
      <c r="I149" s="46"/>
      <c r="J149" s="48">
        <v>2500000</v>
      </c>
      <c r="K149" s="46"/>
      <c r="L149" s="46"/>
      <c r="M149" s="39">
        <f t="shared" si="42"/>
        <v>2500000</v>
      </c>
      <c r="N149" s="39">
        <f t="shared" si="53"/>
        <v>0</v>
      </c>
      <c r="O149" s="39">
        <f t="shared" si="54"/>
        <v>2600000</v>
      </c>
      <c r="P149" s="39">
        <f t="shared" si="55"/>
        <v>0</v>
      </c>
      <c r="Q149" s="39">
        <f t="shared" si="56"/>
        <v>0</v>
      </c>
      <c r="R149" s="39">
        <f t="shared" si="51"/>
        <v>2600000</v>
      </c>
      <c r="S149" s="39">
        <f t="shared" si="47"/>
        <v>0</v>
      </c>
      <c r="T149" s="39">
        <f t="shared" si="48"/>
        <v>2704000</v>
      </c>
      <c r="U149" s="39">
        <f t="shared" si="49"/>
        <v>0</v>
      </c>
      <c r="V149" s="39">
        <f t="shared" si="50"/>
        <v>0</v>
      </c>
      <c r="W149" s="39">
        <f t="shared" si="36"/>
        <v>2704000</v>
      </c>
      <c r="X149" s="75"/>
      <c r="Y149" s="75">
        <v>0</v>
      </c>
      <c r="Z149" s="75">
        <v>4</v>
      </c>
      <c r="AA149" s="75">
        <v>1</v>
      </c>
      <c r="AB149" s="75">
        <v>1</v>
      </c>
      <c r="AC149" s="75">
        <v>1</v>
      </c>
      <c r="AD149" s="75">
        <v>1</v>
      </c>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91" t="s">
        <v>380</v>
      </c>
      <c r="BB149" s="75"/>
      <c r="BC149" s="75"/>
      <c r="BD149" s="75"/>
    </row>
    <row r="150" spans="1:56" s="41" customFormat="1" ht="35.25" customHeight="1">
      <c r="A150" s="408"/>
      <c r="B150" s="45" t="s">
        <v>164</v>
      </c>
      <c r="C150" s="45"/>
      <c r="D150" s="46"/>
      <c r="E150" s="47">
        <v>4000000</v>
      </c>
      <c r="F150" s="39"/>
      <c r="G150" s="39">
        <v>2000000</v>
      </c>
      <c r="H150" s="40">
        <f t="shared" si="19"/>
        <v>6000000</v>
      </c>
      <c r="I150" s="46"/>
      <c r="J150" s="48">
        <v>7728000</v>
      </c>
      <c r="K150" s="46"/>
      <c r="L150" s="46"/>
      <c r="M150" s="39">
        <f t="shared" si="42"/>
        <v>7728000</v>
      </c>
      <c r="N150" s="39">
        <f t="shared" si="53"/>
        <v>0</v>
      </c>
      <c r="O150" s="39">
        <f t="shared" si="54"/>
        <v>8037120</v>
      </c>
      <c r="P150" s="39">
        <f t="shared" si="55"/>
        <v>0</v>
      </c>
      <c r="Q150" s="39">
        <f t="shared" si="56"/>
        <v>0</v>
      </c>
      <c r="R150" s="39">
        <f t="shared" si="51"/>
        <v>8037120</v>
      </c>
      <c r="S150" s="39">
        <f t="shared" si="47"/>
        <v>0</v>
      </c>
      <c r="T150" s="39">
        <f t="shared" si="48"/>
        <v>8358604.8</v>
      </c>
      <c r="U150" s="39">
        <f t="shared" si="49"/>
        <v>0</v>
      </c>
      <c r="V150" s="39">
        <f t="shared" si="50"/>
        <v>0</v>
      </c>
      <c r="W150" s="39">
        <f t="shared" si="36"/>
        <v>8358604.8</v>
      </c>
      <c r="X150" s="75"/>
      <c r="Y150" s="75">
        <v>0</v>
      </c>
      <c r="Z150" s="75">
        <v>40</v>
      </c>
      <c r="AA150" s="75">
        <v>40</v>
      </c>
      <c r="AB150" s="75">
        <v>40</v>
      </c>
      <c r="AC150" s="75">
        <v>40</v>
      </c>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91"/>
      <c r="BB150" s="75"/>
      <c r="BC150" s="75"/>
      <c r="BD150" s="75"/>
    </row>
    <row r="151" spans="1:56" s="11" customFormat="1" ht="15">
      <c r="A151" s="407"/>
      <c r="B151" s="31" t="s">
        <v>342</v>
      </c>
      <c r="C151" s="31"/>
      <c r="D151" s="36"/>
      <c r="E151" s="37">
        <f>SUM(E142:E150)</f>
        <v>38930643</v>
      </c>
      <c r="F151" s="37">
        <f aca="true" t="shared" si="57" ref="F151:W151">SUM(F142:F150)</f>
        <v>0</v>
      </c>
      <c r="G151" s="37">
        <f t="shared" si="57"/>
        <v>18531411</v>
      </c>
      <c r="H151" s="37">
        <f t="shared" si="57"/>
        <v>56462054</v>
      </c>
      <c r="I151" s="37">
        <f t="shared" si="57"/>
        <v>0</v>
      </c>
      <c r="J151" s="37">
        <f t="shared" si="57"/>
        <v>32745819</v>
      </c>
      <c r="K151" s="37">
        <f t="shared" si="57"/>
        <v>0</v>
      </c>
      <c r="L151" s="37">
        <f t="shared" si="57"/>
        <v>12020000</v>
      </c>
      <c r="M151" s="37">
        <f t="shared" si="57"/>
        <v>44765819</v>
      </c>
      <c r="N151" s="37">
        <f t="shared" si="57"/>
        <v>0</v>
      </c>
      <c r="O151" s="37">
        <f t="shared" si="57"/>
        <v>34055651.76</v>
      </c>
      <c r="P151" s="37">
        <f t="shared" si="57"/>
        <v>0</v>
      </c>
      <c r="Q151" s="37">
        <f t="shared" si="57"/>
        <v>2100800</v>
      </c>
      <c r="R151" s="37">
        <f t="shared" si="57"/>
        <v>36156451.76</v>
      </c>
      <c r="S151" s="37">
        <f t="shared" si="57"/>
        <v>0</v>
      </c>
      <c r="T151" s="37">
        <f t="shared" si="57"/>
        <v>35417877.8304</v>
      </c>
      <c r="U151" s="37">
        <f t="shared" si="57"/>
        <v>0</v>
      </c>
      <c r="V151" s="34">
        <f t="shared" si="57"/>
        <v>2184832</v>
      </c>
      <c r="W151" s="34">
        <f t="shared" si="57"/>
        <v>37602709.8304</v>
      </c>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row>
    <row r="152" spans="1:56" s="11" customFormat="1" ht="15">
      <c r="A152" s="394" t="s">
        <v>59</v>
      </c>
      <c r="B152" s="395"/>
      <c r="C152" s="65"/>
      <c r="D152" s="52">
        <v>0</v>
      </c>
      <c r="E152" s="53">
        <v>80084904</v>
      </c>
      <c r="F152" s="52"/>
      <c r="G152" s="53">
        <v>224447851</v>
      </c>
      <c r="H152" s="51">
        <f>D152+E152+F152+G152</f>
        <v>304532755</v>
      </c>
      <c r="I152" s="51"/>
      <c r="J152" s="53">
        <v>54080000</v>
      </c>
      <c r="K152" s="53">
        <v>-54080000</v>
      </c>
      <c r="L152" s="51">
        <v>45000000</v>
      </c>
      <c r="M152" s="55">
        <f>J152+K152+L152</f>
        <v>45000000</v>
      </c>
      <c r="N152" s="53">
        <v>10000000</v>
      </c>
      <c r="O152" s="53">
        <v>56243200</v>
      </c>
      <c r="P152" s="53">
        <v>56243200</v>
      </c>
      <c r="Q152" s="53">
        <v>46800000</v>
      </c>
      <c r="R152" s="51">
        <f>N152+O152+P152+Q152</f>
        <v>169286400</v>
      </c>
      <c r="S152" s="53">
        <v>10400000</v>
      </c>
      <c r="T152" s="53">
        <v>58492928</v>
      </c>
      <c r="U152" s="56">
        <v>58492928</v>
      </c>
      <c r="V152" s="53">
        <v>48672000</v>
      </c>
      <c r="W152" s="53">
        <f>S152+T152+U152+V152</f>
        <v>176057856</v>
      </c>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row>
    <row r="153" spans="1:56" s="41" customFormat="1" ht="32.25" customHeight="1">
      <c r="A153" s="406" t="s">
        <v>166</v>
      </c>
      <c r="B153" s="45" t="s">
        <v>287</v>
      </c>
      <c r="C153" s="45"/>
      <c r="D153" s="39"/>
      <c r="E153" s="39">
        <v>12000000</v>
      </c>
      <c r="F153" s="39"/>
      <c r="G153" s="39"/>
      <c r="H153" s="40">
        <f t="shared" si="19"/>
        <v>12000000</v>
      </c>
      <c r="I153" s="39"/>
      <c r="J153" s="39">
        <v>6000000</v>
      </c>
      <c r="K153" s="39"/>
      <c r="L153" s="39"/>
      <c r="M153" s="39">
        <f t="shared" si="42"/>
        <v>6000000</v>
      </c>
      <c r="N153" s="39">
        <f aca="true" t="shared" si="58" ref="N153:N166">+I153*4%+I153</f>
        <v>0</v>
      </c>
      <c r="O153" s="39">
        <f aca="true" t="shared" si="59" ref="O153:O166">+J153*4%+J153</f>
        <v>6240000</v>
      </c>
      <c r="P153" s="39">
        <f aca="true" t="shared" si="60" ref="P153:P166">+K153*4%+K153</f>
        <v>0</v>
      </c>
      <c r="Q153" s="39">
        <f aca="true" t="shared" si="61" ref="Q153:Q166">+L153*4%+L153</f>
        <v>0</v>
      </c>
      <c r="R153" s="39">
        <f aca="true" t="shared" si="62" ref="R153:R232">SUM(N153:Q153)</f>
        <v>6240000</v>
      </c>
      <c r="S153" s="39">
        <f aca="true" t="shared" si="63" ref="S153:S186">+N153*4%+N153</f>
        <v>0</v>
      </c>
      <c r="T153" s="39">
        <f aca="true" t="shared" si="64" ref="T153:T186">+O153*4%+O153</f>
        <v>6489600</v>
      </c>
      <c r="U153" s="39">
        <f aca="true" t="shared" si="65" ref="U153:U186">+P153*4%+P153</f>
        <v>0</v>
      </c>
      <c r="V153" s="39">
        <f aca="true" t="shared" si="66" ref="V153:V186">+Q153*4%+Q153</f>
        <v>0</v>
      </c>
      <c r="W153" s="39">
        <f t="shared" si="36"/>
        <v>6489600</v>
      </c>
      <c r="X153" s="75"/>
      <c r="Y153" s="75">
        <v>10</v>
      </c>
      <c r="Z153" s="75">
        <v>20</v>
      </c>
      <c r="AA153" s="75">
        <v>4</v>
      </c>
      <c r="AB153" s="75">
        <v>4</v>
      </c>
      <c r="AC153" s="75">
        <v>2</v>
      </c>
      <c r="AD153" s="75">
        <v>0</v>
      </c>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91"/>
      <c r="BB153" s="75"/>
      <c r="BC153" s="75"/>
      <c r="BD153" s="75"/>
    </row>
    <row r="154" spans="1:56" s="41" customFormat="1" ht="50.25" customHeight="1">
      <c r="A154" s="408"/>
      <c r="B154" s="45" t="s">
        <v>167</v>
      </c>
      <c r="C154" s="45"/>
      <c r="D154" s="39"/>
      <c r="E154" s="39">
        <v>10000000</v>
      </c>
      <c r="F154" s="39"/>
      <c r="G154" s="39"/>
      <c r="H154" s="40">
        <f t="shared" si="19"/>
        <v>10000000</v>
      </c>
      <c r="I154" s="39"/>
      <c r="J154" s="39">
        <v>9000000</v>
      </c>
      <c r="K154" s="39"/>
      <c r="L154" s="39"/>
      <c r="M154" s="39">
        <f t="shared" si="42"/>
        <v>9000000</v>
      </c>
      <c r="N154" s="39">
        <f t="shared" si="58"/>
        <v>0</v>
      </c>
      <c r="O154" s="39">
        <f t="shared" si="59"/>
        <v>9360000</v>
      </c>
      <c r="P154" s="39">
        <f t="shared" si="60"/>
        <v>0</v>
      </c>
      <c r="Q154" s="39">
        <f t="shared" si="61"/>
        <v>0</v>
      </c>
      <c r="R154" s="39">
        <f t="shared" si="62"/>
        <v>9360000</v>
      </c>
      <c r="S154" s="39">
        <f t="shared" si="63"/>
        <v>0</v>
      </c>
      <c r="T154" s="39">
        <f t="shared" si="64"/>
        <v>9734400</v>
      </c>
      <c r="U154" s="39">
        <f t="shared" si="65"/>
        <v>0</v>
      </c>
      <c r="V154" s="39">
        <f t="shared" si="66"/>
        <v>0</v>
      </c>
      <c r="W154" s="39">
        <f t="shared" si="36"/>
        <v>9734400</v>
      </c>
      <c r="X154" s="75"/>
      <c r="Y154" s="75">
        <v>0</v>
      </c>
      <c r="Z154" s="75">
        <v>100</v>
      </c>
      <c r="AA154" s="75">
        <v>25</v>
      </c>
      <c r="AB154" s="75">
        <v>25</v>
      </c>
      <c r="AC154" s="75">
        <v>25</v>
      </c>
      <c r="AD154" s="75">
        <v>25</v>
      </c>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91"/>
      <c r="BB154" s="75"/>
      <c r="BC154" s="75"/>
      <c r="BD154" s="75"/>
    </row>
    <row r="155" spans="1:56" s="41" customFormat="1" ht="25.5" customHeight="1">
      <c r="A155" s="408"/>
      <c r="B155" s="45" t="s">
        <v>168</v>
      </c>
      <c r="C155" s="45"/>
      <c r="D155" s="39"/>
      <c r="E155" s="39">
        <v>14984904</v>
      </c>
      <c r="F155" s="39"/>
      <c r="G155" s="39">
        <v>500000</v>
      </c>
      <c r="H155" s="40">
        <f t="shared" si="19"/>
        <v>15484904</v>
      </c>
      <c r="I155" s="39"/>
      <c r="J155" s="39">
        <v>7000000</v>
      </c>
      <c r="K155" s="39"/>
      <c r="L155" s="39"/>
      <c r="M155" s="39">
        <f t="shared" si="42"/>
        <v>7000000</v>
      </c>
      <c r="N155" s="39">
        <f t="shared" si="58"/>
        <v>0</v>
      </c>
      <c r="O155" s="39">
        <f t="shared" si="59"/>
        <v>7280000</v>
      </c>
      <c r="P155" s="39">
        <f t="shared" si="60"/>
        <v>0</v>
      </c>
      <c r="Q155" s="39">
        <f t="shared" si="61"/>
        <v>0</v>
      </c>
      <c r="R155" s="39">
        <f t="shared" si="62"/>
        <v>7280000</v>
      </c>
      <c r="S155" s="39">
        <f t="shared" si="63"/>
        <v>0</v>
      </c>
      <c r="T155" s="39">
        <f t="shared" si="64"/>
        <v>7571200</v>
      </c>
      <c r="U155" s="39">
        <f t="shared" si="65"/>
        <v>0</v>
      </c>
      <c r="V155" s="39">
        <f t="shared" si="66"/>
        <v>0</v>
      </c>
      <c r="W155" s="39">
        <f t="shared" si="36"/>
        <v>7571200</v>
      </c>
      <c r="X155" s="75"/>
      <c r="Y155" s="75">
        <v>0</v>
      </c>
      <c r="Z155" s="75">
        <v>50</v>
      </c>
      <c r="AA155" s="75">
        <v>15</v>
      </c>
      <c r="AB155" s="75">
        <v>15</v>
      </c>
      <c r="AC155" s="75">
        <v>10</v>
      </c>
      <c r="AD155" s="75">
        <v>10</v>
      </c>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91"/>
      <c r="BB155" s="75"/>
      <c r="BC155" s="75"/>
      <c r="BD155" s="75"/>
    </row>
    <row r="156" spans="1:56" s="41" customFormat="1" ht="33.75" customHeight="1">
      <c r="A156" s="408"/>
      <c r="B156" s="45" t="s">
        <v>169</v>
      </c>
      <c r="C156" s="45"/>
      <c r="D156" s="39"/>
      <c r="E156" s="39">
        <v>32000000</v>
      </c>
      <c r="F156" s="39"/>
      <c r="G156" s="39"/>
      <c r="H156" s="40">
        <f t="shared" si="19"/>
        <v>32000000</v>
      </c>
      <c r="I156" s="39"/>
      <c r="J156" s="39">
        <v>9000000</v>
      </c>
      <c r="K156" s="39"/>
      <c r="L156" s="39"/>
      <c r="M156" s="39">
        <f t="shared" si="42"/>
        <v>9000000</v>
      </c>
      <c r="N156" s="39">
        <f t="shared" si="58"/>
        <v>0</v>
      </c>
      <c r="O156" s="39">
        <f t="shared" si="59"/>
        <v>9360000</v>
      </c>
      <c r="P156" s="39">
        <f t="shared" si="60"/>
        <v>0</v>
      </c>
      <c r="Q156" s="39">
        <f t="shared" si="61"/>
        <v>0</v>
      </c>
      <c r="R156" s="39">
        <f t="shared" si="62"/>
        <v>9360000</v>
      </c>
      <c r="S156" s="39">
        <f t="shared" si="63"/>
        <v>0</v>
      </c>
      <c r="T156" s="39">
        <f t="shared" si="64"/>
        <v>9734400</v>
      </c>
      <c r="U156" s="39">
        <f t="shared" si="65"/>
        <v>0</v>
      </c>
      <c r="V156" s="39">
        <f t="shared" si="66"/>
        <v>0</v>
      </c>
      <c r="W156" s="39">
        <f t="shared" si="36"/>
        <v>9734400</v>
      </c>
      <c r="X156" s="75"/>
      <c r="Y156" s="75">
        <v>0</v>
      </c>
      <c r="Z156" s="75">
        <v>10</v>
      </c>
      <c r="AA156" s="75">
        <v>5</v>
      </c>
      <c r="AB156" s="75">
        <v>3</v>
      </c>
      <c r="AC156" s="75">
        <v>2</v>
      </c>
      <c r="AD156" s="75">
        <v>0</v>
      </c>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91"/>
      <c r="BB156" s="75"/>
      <c r="BC156" s="75"/>
      <c r="BD156" s="75"/>
    </row>
    <row r="157" spans="1:56" s="41" customFormat="1" ht="39.75" customHeight="1">
      <c r="A157" s="408"/>
      <c r="B157" s="45" t="s">
        <v>170</v>
      </c>
      <c r="C157" s="45"/>
      <c r="D157" s="39"/>
      <c r="E157" s="39">
        <v>2000000</v>
      </c>
      <c r="F157" s="39"/>
      <c r="G157" s="39">
        <v>223947851</v>
      </c>
      <c r="H157" s="40">
        <f t="shared" si="19"/>
        <v>225947851</v>
      </c>
      <c r="I157" s="39"/>
      <c r="J157" s="39">
        <v>4080000</v>
      </c>
      <c r="K157" s="39"/>
      <c r="L157" s="39"/>
      <c r="M157" s="39">
        <f t="shared" si="42"/>
        <v>4080000</v>
      </c>
      <c r="N157" s="39">
        <f t="shared" si="58"/>
        <v>0</v>
      </c>
      <c r="O157" s="39">
        <f t="shared" si="59"/>
        <v>4243200</v>
      </c>
      <c r="P157" s="39">
        <f t="shared" si="60"/>
        <v>0</v>
      </c>
      <c r="Q157" s="39">
        <f t="shared" si="61"/>
        <v>0</v>
      </c>
      <c r="R157" s="39">
        <f t="shared" si="62"/>
        <v>4243200</v>
      </c>
      <c r="S157" s="39">
        <f t="shared" si="63"/>
        <v>0</v>
      </c>
      <c r="T157" s="39">
        <f t="shared" si="64"/>
        <v>4412928</v>
      </c>
      <c r="U157" s="39">
        <f t="shared" si="65"/>
        <v>0</v>
      </c>
      <c r="V157" s="39">
        <f t="shared" si="66"/>
        <v>0</v>
      </c>
      <c r="W157" s="39">
        <f t="shared" si="36"/>
        <v>4412928</v>
      </c>
      <c r="X157" s="75"/>
      <c r="Y157" s="75">
        <v>50</v>
      </c>
      <c r="Z157" s="75">
        <v>50</v>
      </c>
      <c r="AA157" s="75">
        <v>24</v>
      </c>
      <c r="AB157" s="75">
        <v>10</v>
      </c>
      <c r="AC157" s="75">
        <v>10</v>
      </c>
      <c r="AD157" s="75">
        <v>6</v>
      </c>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91"/>
      <c r="BB157" s="75"/>
      <c r="BC157" s="75"/>
      <c r="BD157" s="75"/>
    </row>
    <row r="158" spans="1:56" s="41" customFormat="1" ht="32.25" customHeight="1">
      <c r="A158" s="408"/>
      <c r="B158" s="45" t="s">
        <v>171</v>
      </c>
      <c r="C158" s="45"/>
      <c r="D158" s="39"/>
      <c r="E158" s="39">
        <v>2000000</v>
      </c>
      <c r="F158" s="39"/>
      <c r="G158" s="39"/>
      <c r="H158" s="40">
        <f t="shared" si="19"/>
        <v>2000000</v>
      </c>
      <c r="I158" s="39"/>
      <c r="J158" s="39">
        <v>4000000</v>
      </c>
      <c r="K158" s="39"/>
      <c r="L158" s="39"/>
      <c r="M158" s="39">
        <f t="shared" si="42"/>
        <v>4000000</v>
      </c>
      <c r="N158" s="39">
        <f t="shared" si="58"/>
        <v>0</v>
      </c>
      <c r="O158" s="39">
        <f t="shared" si="59"/>
        <v>4160000</v>
      </c>
      <c r="P158" s="39">
        <f t="shared" si="60"/>
        <v>0</v>
      </c>
      <c r="Q158" s="39">
        <f t="shared" si="61"/>
        <v>0</v>
      </c>
      <c r="R158" s="39">
        <f t="shared" si="62"/>
        <v>4160000</v>
      </c>
      <c r="S158" s="39">
        <f t="shared" si="63"/>
        <v>0</v>
      </c>
      <c r="T158" s="39">
        <f t="shared" si="64"/>
        <v>4326400</v>
      </c>
      <c r="U158" s="39">
        <f t="shared" si="65"/>
        <v>0</v>
      </c>
      <c r="V158" s="39">
        <f t="shared" si="66"/>
        <v>0</v>
      </c>
      <c r="W158" s="39">
        <f t="shared" si="36"/>
        <v>4326400</v>
      </c>
      <c r="X158" s="75"/>
      <c r="Y158" s="75">
        <v>0</v>
      </c>
      <c r="Z158" s="75">
        <v>24</v>
      </c>
      <c r="AA158" s="75">
        <v>0</v>
      </c>
      <c r="AB158" s="75">
        <v>10</v>
      </c>
      <c r="AC158" s="75">
        <v>14</v>
      </c>
      <c r="AD158" s="75">
        <v>0</v>
      </c>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row>
    <row r="159" spans="1:56" s="41" customFormat="1" ht="53.25" customHeight="1">
      <c r="A159" s="408"/>
      <c r="B159" s="45" t="s">
        <v>172</v>
      </c>
      <c r="C159" s="45"/>
      <c r="D159" s="39"/>
      <c r="E159" s="39">
        <v>3100000</v>
      </c>
      <c r="F159" s="39"/>
      <c r="G159" s="39"/>
      <c r="H159" s="40">
        <f t="shared" si="19"/>
        <v>3100000</v>
      </c>
      <c r="I159" s="39"/>
      <c r="J159" s="39"/>
      <c r="K159" s="39">
        <v>54080000</v>
      </c>
      <c r="L159" s="39"/>
      <c r="M159" s="39">
        <f t="shared" si="42"/>
        <v>54080000</v>
      </c>
      <c r="N159" s="39">
        <v>10000000</v>
      </c>
      <c r="O159" s="39">
        <f t="shared" si="59"/>
        <v>0</v>
      </c>
      <c r="P159" s="39">
        <f t="shared" si="60"/>
        <v>56243200</v>
      </c>
      <c r="Q159" s="39">
        <f t="shared" si="61"/>
        <v>0</v>
      </c>
      <c r="R159" s="39">
        <f t="shared" si="62"/>
        <v>66243200</v>
      </c>
      <c r="S159" s="39">
        <f t="shared" si="63"/>
        <v>10400000</v>
      </c>
      <c r="T159" s="39">
        <f t="shared" si="64"/>
        <v>0</v>
      </c>
      <c r="U159" s="39">
        <f t="shared" si="65"/>
        <v>58492928</v>
      </c>
      <c r="V159" s="39">
        <f t="shared" si="66"/>
        <v>0</v>
      </c>
      <c r="W159" s="39">
        <f t="shared" si="36"/>
        <v>68892928</v>
      </c>
      <c r="X159" s="75"/>
      <c r="Y159" s="75">
        <v>0</v>
      </c>
      <c r="Z159" s="75">
        <v>12</v>
      </c>
      <c r="AA159" s="75">
        <v>0</v>
      </c>
      <c r="AB159" s="75">
        <v>0</v>
      </c>
      <c r="AC159" s="75">
        <v>12</v>
      </c>
      <c r="AD159" s="75">
        <v>0</v>
      </c>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row>
    <row r="160" spans="1:56" s="41" customFormat="1" ht="32.25" customHeight="1">
      <c r="A160" s="408"/>
      <c r="B160" s="45" t="s">
        <v>67</v>
      </c>
      <c r="C160" s="45"/>
      <c r="D160" s="39"/>
      <c r="E160" s="39">
        <v>2000000</v>
      </c>
      <c r="F160" s="39"/>
      <c r="G160" s="39"/>
      <c r="H160" s="40">
        <f t="shared" si="19"/>
        <v>2000000</v>
      </c>
      <c r="I160" s="39"/>
      <c r="J160" s="39"/>
      <c r="K160" s="39"/>
      <c r="L160" s="39"/>
      <c r="M160" s="39">
        <f t="shared" si="42"/>
        <v>0</v>
      </c>
      <c r="N160" s="39">
        <f t="shared" si="58"/>
        <v>0</v>
      </c>
      <c r="O160" s="39">
        <f t="shared" si="59"/>
        <v>0</v>
      </c>
      <c r="P160" s="39">
        <f t="shared" si="60"/>
        <v>0</v>
      </c>
      <c r="Q160" s="39">
        <f t="shared" si="61"/>
        <v>0</v>
      </c>
      <c r="R160" s="39">
        <f t="shared" si="62"/>
        <v>0</v>
      </c>
      <c r="S160" s="39">
        <f t="shared" si="63"/>
        <v>0</v>
      </c>
      <c r="T160" s="39">
        <f t="shared" si="64"/>
        <v>0</v>
      </c>
      <c r="U160" s="39">
        <f t="shared" si="65"/>
        <v>0</v>
      </c>
      <c r="V160" s="39">
        <f t="shared" si="66"/>
        <v>0</v>
      </c>
      <c r="W160" s="39">
        <f t="shared" si="36"/>
        <v>0</v>
      </c>
      <c r="X160" s="75"/>
      <c r="Y160" s="75">
        <v>0</v>
      </c>
      <c r="Z160" s="75">
        <v>2</v>
      </c>
      <c r="AA160" s="75">
        <v>0</v>
      </c>
      <c r="AB160" s="75">
        <v>1</v>
      </c>
      <c r="AC160" s="75">
        <v>1</v>
      </c>
      <c r="AD160" s="75">
        <v>0</v>
      </c>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row>
    <row r="161" spans="1:56" s="41" customFormat="1" ht="32.25" customHeight="1">
      <c r="A161" s="408"/>
      <c r="B161" s="45" t="s">
        <v>173</v>
      </c>
      <c r="C161" s="45"/>
      <c r="D161" s="39"/>
      <c r="E161" s="39"/>
      <c r="F161" s="39"/>
      <c r="G161" s="39"/>
      <c r="H161" s="40"/>
      <c r="I161" s="39"/>
      <c r="J161" s="39"/>
      <c r="K161" s="39"/>
      <c r="L161" s="39"/>
      <c r="M161" s="39"/>
      <c r="N161" s="39"/>
      <c r="O161" s="39"/>
      <c r="P161" s="39"/>
      <c r="Q161" s="39"/>
      <c r="R161" s="39"/>
      <c r="S161" s="39"/>
      <c r="T161" s="39"/>
      <c r="U161" s="39"/>
      <c r="V161" s="39"/>
      <c r="W161" s="39"/>
      <c r="X161" s="75"/>
      <c r="Y161" s="75">
        <v>0</v>
      </c>
      <c r="Z161" s="75">
        <v>3</v>
      </c>
      <c r="AA161" s="75">
        <v>0</v>
      </c>
      <c r="AB161" s="75">
        <v>1</v>
      </c>
      <c r="AC161" s="75">
        <v>1</v>
      </c>
      <c r="AD161" s="75">
        <v>1</v>
      </c>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row>
    <row r="162" spans="1:56" s="41" customFormat="1" ht="30" customHeight="1">
      <c r="A162" s="408"/>
      <c r="B162" s="45" t="s">
        <v>288</v>
      </c>
      <c r="C162" s="45"/>
      <c r="D162" s="39"/>
      <c r="E162" s="39">
        <v>2000000</v>
      </c>
      <c r="F162" s="39"/>
      <c r="G162" s="39"/>
      <c r="H162" s="40">
        <f t="shared" si="19"/>
        <v>2000000</v>
      </c>
      <c r="I162" s="39"/>
      <c r="J162" s="39">
        <v>15000000</v>
      </c>
      <c r="K162" s="39"/>
      <c r="L162" s="39"/>
      <c r="M162" s="39">
        <f t="shared" si="42"/>
        <v>15000000</v>
      </c>
      <c r="N162" s="39">
        <f t="shared" si="58"/>
        <v>0</v>
      </c>
      <c r="O162" s="39">
        <f t="shared" si="59"/>
        <v>15600000</v>
      </c>
      <c r="P162" s="39">
        <f t="shared" si="60"/>
        <v>0</v>
      </c>
      <c r="Q162" s="39">
        <f t="shared" si="61"/>
        <v>0</v>
      </c>
      <c r="R162" s="39">
        <f t="shared" si="62"/>
        <v>15600000</v>
      </c>
      <c r="S162" s="39">
        <f t="shared" si="63"/>
        <v>0</v>
      </c>
      <c r="T162" s="39">
        <f t="shared" si="64"/>
        <v>16224000</v>
      </c>
      <c r="U162" s="39">
        <f t="shared" si="65"/>
        <v>0</v>
      </c>
      <c r="V162" s="39">
        <f t="shared" si="66"/>
        <v>0</v>
      </c>
      <c r="W162" s="39">
        <f t="shared" si="36"/>
        <v>16224000</v>
      </c>
      <c r="X162" s="75"/>
      <c r="Y162" s="75">
        <v>0</v>
      </c>
      <c r="Z162" s="75">
        <v>500</v>
      </c>
      <c r="AA162" s="75">
        <v>50</v>
      </c>
      <c r="AB162" s="75">
        <v>150</v>
      </c>
      <c r="AC162" s="75">
        <v>150</v>
      </c>
      <c r="AD162" s="75">
        <v>150</v>
      </c>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91"/>
      <c r="BB162" s="75"/>
      <c r="BC162" s="75"/>
      <c r="BD162" s="75"/>
    </row>
    <row r="163" spans="1:56" s="41" customFormat="1" ht="15">
      <c r="A163" s="407"/>
      <c r="B163" s="31" t="s">
        <v>342</v>
      </c>
      <c r="C163" s="31"/>
      <c r="D163" s="33">
        <v>0</v>
      </c>
      <c r="E163" s="33">
        <f>SUM(E153:E162)</f>
        <v>80084904</v>
      </c>
      <c r="F163" s="33">
        <f aca="true" t="shared" si="67" ref="F163:W163">SUM(F153:F162)</f>
        <v>0</v>
      </c>
      <c r="G163" s="33">
        <f t="shared" si="67"/>
        <v>224447851</v>
      </c>
      <c r="H163" s="33">
        <f t="shared" si="67"/>
        <v>304532755</v>
      </c>
      <c r="I163" s="33">
        <f t="shared" si="67"/>
        <v>0</v>
      </c>
      <c r="J163" s="33">
        <f t="shared" si="67"/>
        <v>54080000</v>
      </c>
      <c r="K163" s="33">
        <v>54080000</v>
      </c>
      <c r="L163" s="33">
        <f t="shared" si="67"/>
        <v>0</v>
      </c>
      <c r="M163" s="33">
        <f t="shared" si="67"/>
        <v>108160000</v>
      </c>
      <c r="N163" s="33">
        <f t="shared" si="67"/>
        <v>10000000</v>
      </c>
      <c r="O163" s="33">
        <f t="shared" si="67"/>
        <v>56243200</v>
      </c>
      <c r="P163" s="33">
        <v>56243200</v>
      </c>
      <c r="Q163" s="33">
        <f t="shared" si="67"/>
        <v>0</v>
      </c>
      <c r="R163" s="33">
        <f>N163+O163+P163+Q163</f>
        <v>122486400</v>
      </c>
      <c r="S163" s="33">
        <f t="shared" si="67"/>
        <v>10400000</v>
      </c>
      <c r="T163" s="33">
        <f t="shared" si="67"/>
        <v>58492928</v>
      </c>
      <c r="U163" s="33">
        <f t="shared" si="67"/>
        <v>58492928</v>
      </c>
      <c r="V163" s="33">
        <f t="shared" si="67"/>
        <v>0</v>
      </c>
      <c r="W163" s="33">
        <f t="shared" si="67"/>
        <v>127385856</v>
      </c>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row>
    <row r="164" spans="1:56" s="41" customFormat="1" ht="48" customHeight="1">
      <c r="A164" s="406" t="s">
        <v>165</v>
      </c>
      <c r="B164" s="45" t="s">
        <v>289</v>
      </c>
      <c r="C164" s="45"/>
      <c r="D164" s="39">
        <v>0</v>
      </c>
      <c r="E164" s="39"/>
      <c r="F164" s="39"/>
      <c r="G164" s="39"/>
      <c r="H164" s="40">
        <f t="shared" si="19"/>
        <v>0</v>
      </c>
      <c r="I164" s="39"/>
      <c r="J164" s="39"/>
      <c r="K164" s="39"/>
      <c r="L164" s="39">
        <v>30000000</v>
      </c>
      <c r="M164" s="39">
        <f t="shared" si="42"/>
        <v>30000000</v>
      </c>
      <c r="N164" s="39">
        <f t="shared" si="58"/>
        <v>0</v>
      </c>
      <c r="O164" s="39">
        <f t="shared" si="59"/>
        <v>0</v>
      </c>
      <c r="P164" s="39">
        <f t="shared" si="60"/>
        <v>0</v>
      </c>
      <c r="Q164" s="39">
        <f t="shared" si="61"/>
        <v>31200000</v>
      </c>
      <c r="R164" s="39">
        <f t="shared" si="62"/>
        <v>31200000</v>
      </c>
      <c r="S164" s="39">
        <f t="shared" si="63"/>
        <v>0</v>
      </c>
      <c r="T164" s="39">
        <f t="shared" si="64"/>
        <v>0</v>
      </c>
      <c r="U164" s="39">
        <f t="shared" si="65"/>
        <v>0</v>
      </c>
      <c r="V164" s="39">
        <f t="shared" si="66"/>
        <v>32448000</v>
      </c>
      <c r="W164" s="39">
        <f t="shared" si="36"/>
        <v>32448000</v>
      </c>
      <c r="X164" s="75"/>
      <c r="Y164" s="75">
        <v>3</v>
      </c>
      <c r="Z164" s="75">
        <v>10</v>
      </c>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row>
    <row r="165" spans="1:56" s="41" customFormat="1" ht="34.5" customHeight="1">
      <c r="A165" s="408"/>
      <c r="B165" s="45" t="s">
        <v>174</v>
      </c>
      <c r="C165" s="45"/>
      <c r="D165" s="39">
        <v>0</v>
      </c>
      <c r="E165" s="39"/>
      <c r="F165" s="39"/>
      <c r="G165" s="39"/>
      <c r="H165" s="40">
        <f t="shared" si="19"/>
        <v>0</v>
      </c>
      <c r="I165" s="39"/>
      <c r="J165" s="39"/>
      <c r="K165" s="39"/>
      <c r="L165" s="39">
        <v>5000000</v>
      </c>
      <c r="M165" s="39">
        <f t="shared" si="42"/>
        <v>5000000</v>
      </c>
      <c r="N165" s="39">
        <f t="shared" si="58"/>
        <v>0</v>
      </c>
      <c r="O165" s="39">
        <f t="shared" si="59"/>
        <v>0</v>
      </c>
      <c r="P165" s="39">
        <f t="shared" si="60"/>
        <v>0</v>
      </c>
      <c r="Q165" s="39">
        <f t="shared" si="61"/>
        <v>5200000</v>
      </c>
      <c r="R165" s="39">
        <f t="shared" si="62"/>
        <v>5200000</v>
      </c>
      <c r="S165" s="39">
        <f t="shared" si="63"/>
        <v>0</v>
      </c>
      <c r="T165" s="39">
        <f t="shared" si="64"/>
        <v>0</v>
      </c>
      <c r="U165" s="39">
        <f t="shared" si="65"/>
        <v>0</v>
      </c>
      <c r="V165" s="39">
        <f t="shared" si="66"/>
        <v>5408000</v>
      </c>
      <c r="W165" s="39">
        <f t="shared" si="36"/>
        <v>5408000</v>
      </c>
      <c r="X165" s="75"/>
      <c r="Y165" s="75">
        <v>0</v>
      </c>
      <c r="Z165" s="75">
        <v>20</v>
      </c>
      <c r="AA165" s="75">
        <v>5</v>
      </c>
      <c r="AB165" s="75">
        <v>5</v>
      </c>
      <c r="AC165" s="75">
        <v>5</v>
      </c>
      <c r="AD165" s="75">
        <v>5</v>
      </c>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91"/>
      <c r="BB165" s="75"/>
      <c r="BC165" s="75"/>
      <c r="BD165" s="75"/>
    </row>
    <row r="166" spans="1:56" s="41" customFormat="1" ht="48.75" customHeight="1">
      <c r="A166" s="408"/>
      <c r="B166" s="45" t="s">
        <v>175</v>
      </c>
      <c r="C166" s="45"/>
      <c r="D166" s="39">
        <v>0</v>
      </c>
      <c r="E166" s="39"/>
      <c r="F166" s="39"/>
      <c r="G166" s="39"/>
      <c r="H166" s="40">
        <f t="shared" si="19"/>
        <v>0</v>
      </c>
      <c r="I166" s="39"/>
      <c r="J166" s="39"/>
      <c r="K166" s="39"/>
      <c r="L166" s="39">
        <v>10000000</v>
      </c>
      <c r="M166" s="40">
        <f t="shared" si="42"/>
        <v>10000000</v>
      </c>
      <c r="N166" s="39">
        <f t="shared" si="58"/>
        <v>0</v>
      </c>
      <c r="O166" s="39">
        <f t="shared" si="59"/>
        <v>0</v>
      </c>
      <c r="P166" s="39">
        <f t="shared" si="60"/>
        <v>0</v>
      </c>
      <c r="Q166" s="39">
        <f t="shared" si="61"/>
        <v>10400000</v>
      </c>
      <c r="R166" s="39">
        <f t="shared" si="62"/>
        <v>10400000</v>
      </c>
      <c r="S166" s="39">
        <f t="shared" si="63"/>
        <v>0</v>
      </c>
      <c r="T166" s="39">
        <f t="shared" si="64"/>
        <v>0</v>
      </c>
      <c r="U166" s="39">
        <f t="shared" si="65"/>
        <v>0</v>
      </c>
      <c r="V166" s="39">
        <f t="shared" si="66"/>
        <v>10816000</v>
      </c>
      <c r="W166" s="39">
        <f t="shared" si="36"/>
        <v>10816000</v>
      </c>
      <c r="X166" s="75"/>
      <c r="Y166" s="75">
        <v>0</v>
      </c>
      <c r="Z166" s="75">
        <v>1</v>
      </c>
      <c r="AA166" s="86">
        <v>0.25</v>
      </c>
      <c r="AB166" s="86">
        <v>0.25</v>
      </c>
      <c r="AC166" s="86">
        <v>0.25</v>
      </c>
      <c r="AD166" s="86">
        <v>0.25</v>
      </c>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91"/>
      <c r="BB166" s="75"/>
      <c r="BC166" s="75"/>
      <c r="BD166" s="75"/>
    </row>
    <row r="167" spans="1:56" s="11" customFormat="1" ht="15">
      <c r="A167" s="407"/>
      <c r="B167" s="31" t="s">
        <v>342</v>
      </c>
      <c r="C167" s="31"/>
      <c r="D167" s="33">
        <f>SUM(D164:D166)</f>
        <v>0</v>
      </c>
      <c r="E167" s="33">
        <f aca="true" t="shared" si="68" ref="E167:W167">SUM(E164:E166)</f>
        <v>0</v>
      </c>
      <c r="F167" s="33">
        <f t="shared" si="68"/>
        <v>0</v>
      </c>
      <c r="G167" s="33">
        <f t="shared" si="68"/>
        <v>0</v>
      </c>
      <c r="H167" s="33">
        <f t="shared" si="68"/>
        <v>0</v>
      </c>
      <c r="I167" s="33">
        <f t="shared" si="68"/>
        <v>0</v>
      </c>
      <c r="J167" s="33">
        <f t="shared" si="68"/>
        <v>0</v>
      </c>
      <c r="K167" s="33">
        <f t="shared" si="68"/>
        <v>0</v>
      </c>
      <c r="L167" s="33">
        <f t="shared" si="68"/>
        <v>45000000</v>
      </c>
      <c r="M167" s="33">
        <f t="shared" si="68"/>
        <v>45000000</v>
      </c>
      <c r="N167" s="33">
        <f t="shared" si="68"/>
        <v>0</v>
      </c>
      <c r="O167" s="33">
        <f t="shared" si="68"/>
        <v>0</v>
      </c>
      <c r="P167" s="33">
        <f t="shared" si="68"/>
        <v>0</v>
      </c>
      <c r="Q167" s="33">
        <f t="shared" si="68"/>
        <v>46800000</v>
      </c>
      <c r="R167" s="33">
        <f t="shared" si="68"/>
        <v>46800000</v>
      </c>
      <c r="S167" s="33">
        <f t="shared" si="68"/>
        <v>0</v>
      </c>
      <c r="T167" s="33">
        <f t="shared" si="68"/>
        <v>0</v>
      </c>
      <c r="U167" s="33">
        <f t="shared" si="68"/>
        <v>0</v>
      </c>
      <c r="V167" s="33">
        <f t="shared" si="68"/>
        <v>48672000</v>
      </c>
      <c r="W167" s="33">
        <f t="shared" si="68"/>
        <v>48672000</v>
      </c>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row>
    <row r="168" spans="1:56" s="11" customFormat="1" ht="15">
      <c r="A168" s="399" t="s">
        <v>176</v>
      </c>
      <c r="B168" s="400"/>
      <c r="C168" s="66"/>
      <c r="D168" s="55"/>
      <c r="E168" s="55"/>
      <c r="F168" s="55"/>
      <c r="G168" s="55"/>
      <c r="H168" s="55"/>
      <c r="I168" s="55">
        <v>3000000</v>
      </c>
      <c r="J168" s="55"/>
      <c r="K168" s="55"/>
      <c r="L168" s="55">
        <v>30000000</v>
      </c>
      <c r="M168" s="55">
        <f>I168+J168+K168+L168</f>
        <v>33000000</v>
      </c>
      <c r="N168" s="55"/>
      <c r="O168" s="55"/>
      <c r="P168" s="55"/>
      <c r="Q168" s="55"/>
      <c r="R168" s="55"/>
      <c r="S168" s="55"/>
      <c r="T168" s="55"/>
      <c r="U168" s="55"/>
      <c r="V168" s="55"/>
      <c r="W168" s="55"/>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row>
    <row r="169" spans="1:56" s="41" customFormat="1" ht="54.75" customHeight="1">
      <c r="A169" s="406" t="s">
        <v>177</v>
      </c>
      <c r="B169" s="45" t="s">
        <v>290</v>
      </c>
      <c r="C169" s="45"/>
      <c r="D169" s="39">
        <f>SUM(D167)</f>
        <v>0</v>
      </c>
      <c r="E169" s="39"/>
      <c r="F169" s="39"/>
      <c r="G169" s="39"/>
      <c r="H169" s="39"/>
      <c r="I169" s="39">
        <v>2000000</v>
      </c>
      <c r="J169" s="39"/>
      <c r="K169" s="39"/>
      <c r="L169" s="39"/>
      <c r="M169" s="39">
        <f t="shared" si="42"/>
        <v>2000000</v>
      </c>
      <c r="N169" s="39"/>
      <c r="O169" s="39"/>
      <c r="P169" s="39"/>
      <c r="Q169" s="39"/>
      <c r="R169" s="39"/>
      <c r="S169" s="39"/>
      <c r="T169" s="39"/>
      <c r="U169" s="39"/>
      <c r="V169" s="39"/>
      <c r="W169" s="39"/>
      <c r="X169" s="75"/>
      <c r="Y169" s="75">
        <v>0</v>
      </c>
      <c r="Z169" s="75">
        <v>75</v>
      </c>
      <c r="AA169" s="75">
        <v>70</v>
      </c>
      <c r="AB169" s="75">
        <v>5</v>
      </c>
      <c r="AC169" s="75">
        <v>0</v>
      </c>
      <c r="AD169" s="75">
        <v>0</v>
      </c>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91"/>
      <c r="BB169" s="75"/>
      <c r="BC169" s="75"/>
      <c r="BD169" s="75"/>
    </row>
    <row r="170" spans="1:56" s="41" customFormat="1" ht="30.75" customHeight="1">
      <c r="A170" s="408"/>
      <c r="B170" s="45" t="s">
        <v>178</v>
      </c>
      <c r="C170" s="45"/>
      <c r="D170" s="39">
        <f>SUM(D168)</f>
        <v>0</v>
      </c>
      <c r="E170" s="39"/>
      <c r="F170" s="39"/>
      <c r="G170" s="39"/>
      <c r="H170" s="39"/>
      <c r="I170" s="39"/>
      <c r="J170" s="39"/>
      <c r="K170" s="39"/>
      <c r="L170" s="39">
        <v>20000000</v>
      </c>
      <c r="M170" s="39">
        <f t="shared" si="42"/>
        <v>20000000</v>
      </c>
      <c r="N170" s="39"/>
      <c r="O170" s="39"/>
      <c r="P170" s="39"/>
      <c r="Q170" s="39"/>
      <c r="R170" s="39"/>
      <c r="S170" s="39"/>
      <c r="T170" s="39"/>
      <c r="U170" s="39"/>
      <c r="V170" s="39"/>
      <c r="W170" s="39"/>
      <c r="X170" s="75"/>
      <c r="Y170" s="75">
        <v>0</v>
      </c>
      <c r="Z170" s="75">
        <v>8</v>
      </c>
      <c r="AA170" s="75">
        <v>0</v>
      </c>
      <c r="AB170" s="75">
        <v>3</v>
      </c>
      <c r="AC170" s="75">
        <v>3</v>
      </c>
      <c r="AD170" s="75">
        <v>2</v>
      </c>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row>
    <row r="171" spans="1:56" s="41" customFormat="1" ht="72.75" customHeight="1">
      <c r="A171" s="408"/>
      <c r="B171" s="45" t="s">
        <v>291</v>
      </c>
      <c r="C171" s="45"/>
      <c r="D171" s="39">
        <f>SUM(D169)</f>
        <v>0</v>
      </c>
      <c r="E171" s="39"/>
      <c r="F171" s="39"/>
      <c r="G171" s="39"/>
      <c r="H171" s="39"/>
      <c r="I171" s="39"/>
      <c r="J171" s="39"/>
      <c r="K171" s="39"/>
      <c r="L171" s="39">
        <v>10000000</v>
      </c>
      <c r="M171" s="39">
        <f t="shared" si="42"/>
        <v>10000000</v>
      </c>
      <c r="N171" s="39"/>
      <c r="O171" s="39"/>
      <c r="P171" s="39"/>
      <c r="Q171" s="39"/>
      <c r="R171" s="39"/>
      <c r="S171" s="39"/>
      <c r="T171" s="39"/>
      <c r="U171" s="39"/>
      <c r="V171" s="39"/>
      <c r="W171" s="39"/>
      <c r="X171" s="75"/>
      <c r="Y171" s="75">
        <v>0</v>
      </c>
      <c r="Z171" s="75">
        <v>50</v>
      </c>
      <c r="AA171" s="75">
        <v>0</v>
      </c>
      <c r="AB171" s="75">
        <v>20</v>
      </c>
      <c r="AC171" s="75">
        <v>20</v>
      </c>
      <c r="AD171" s="75">
        <v>10</v>
      </c>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row>
    <row r="172" spans="1:56" s="41" customFormat="1" ht="42" customHeight="1">
      <c r="A172" s="408"/>
      <c r="B172" s="45" t="s">
        <v>179</v>
      </c>
      <c r="C172" s="45"/>
      <c r="D172" s="39">
        <f>SUM(D170)</f>
        <v>0</v>
      </c>
      <c r="E172" s="39"/>
      <c r="F172" s="39"/>
      <c r="G172" s="39"/>
      <c r="H172" s="39"/>
      <c r="I172" s="39">
        <v>1000000</v>
      </c>
      <c r="J172" s="39"/>
      <c r="K172" s="39"/>
      <c r="L172" s="39"/>
      <c r="M172" s="39">
        <f t="shared" si="42"/>
        <v>1000000</v>
      </c>
      <c r="N172" s="39"/>
      <c r="O172" s="39"/>
      <c r="P172" s="39"/>
      <c r="Q172" s="39"/>
      <c r="R172" s="39"/>
      <c r="S172" s="39"/>
      <c r="T172" s="39"/>
      <c r="U172" s="39"/>
      <c r="V172" s="39"/>
      <c r="W172" s="39"/>
      <c r="X172" s="75"/>
      <c r="Y172" s="75">
        <v>0</v>
      </c>
      <c r="Z172" s="75">
        <v>1</v>
      </c>
      <c r="AA172" s="75">
        <v>0</v>
      </c>
      <c r="AB172" s="75">
        <v>1</v>
      </c>
      <c r="AC172" s="75">
        <v>0</v>
      </c>
      <c r="AD172" s="75">
        <v>0</v>
      </c>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row>
    <row r="173" spans="1:56" s="11" customFormat="1" ht="15">
      <c r="A173" s="407"/>
      <c r="B173" s="31" t="s">
        <v>342</v>
      </c>
      <c r="C173" s="31"/>
      <c r="D173" s="33">
        <f>D169+D170+D171+D172</f>
        <v>0</v>
      </c>
      <c r="E173" s="33">
        <f aca="true" t="shared" si="69" ref="E173:W173">E169+E170+E171+E172</f>
        <v>0</v>
      </c>
      <c r="F173" s="33">
        <f t="shared" si="69"/>
        <v>0</v>
      </c>
      <c r="G173" s="33">
        <f t="shared" si="69"/>
        <v>0</v>
      </c>
      <c r="H173" s="33">
        <f t="shared" si="69"/>
        <v>0</v>
      </c>
      <c r="I173" s="33">
        <f t="shared" si="69"/>
        <v>3000000</v>
      </c>
      <c r="J173" s="33">
        <f t="shared" si="69"/>
        <v>0</v>
      </c>
      <c r="K173" s="33">
        <f t="shared" si="69"/>
        <v>0</v>
      </c>
      <c r="L173" s="33">
        <f t="shared" si="69"/>
        <v>30000000</v>
      </c>
      <c r="M173" s="33">
        <f t="shared" si="69"/>
        <v>33000000</v>
      </c>
      <c r="N173" s="33">
        <f t="shared" si="69"/>
        <v>0</v>
      </c>
      <c r="O173" s="33">
        <f t="shared" si="69"/>
        <v>0</v>
      </c>
      <c r="P173" s="33">
        <f t="shared" si="69"/>
        <v>0</v>
      </c>
      <c r="Q173" s="33">
        <f t="shared" si="69"/>
        <v>0</v>
      </c>
      <c r="R173" s="33">
        <f t="shared" si="69"/>
        <v>0</v>
      </c>
      <c r="S173" s="33">
        <f t="shared" si="69"/>
        <v>0</v>
      </c>
      <c r="T173" s="33">
        <f t="shared" si="69"/>
        <v>0</v>
      </c>
      <c r="U173" s="33">
        <f t="shared" si="69"/>
        <v>0</v>
      </c>
      <c r="V173" s="33">
        <f t="shared" si="69"/>
        <v>0</v>
      </c>
      <c r="W173" s="33">
        <f t="shared" si="69"/>
        <v>0</v>
      </c>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row>
    <row r="174" spans="1:56" s="11" customFormat="1" ht="15">
      <c r="A174" s="394" t="s">
        <v>57</v>
      </c>
      <c r="B174" s="395"/>
      <c r="C174" s="65"/>
      <c r="D174" s="53">
        <v>7423609</v>
      </c>
      <c r="E174" s="52">
        <v>0</v>
      </c>
      <c r="F174" s="52"/>
      <c r="G174" s="52"/>
      <c r="H174" s="51">
        <f>SUM(H175:H178)</f>
        <v>7423609</v>
      </c>
      <c r="I174" s="53">
        <v>17720553</v>
      </c>
      <c r="J174" s="53"/>
      <c r="K174" s="53"/>
      <c r="L174" s="53"/>
      <c r="M174" s="51">
        <v>17720553</v>
      </c>
      <c r="N174" s="53">
        <v>8029375</v>
      </c>
      <c r="O174" s="53"/>
      <c r="P174" s="53"/>
      <c r="Q174" s="53"/>
      <c r="R174" s="53">
        <v>8029375</v>
      </c>
      <c r="S174" s="53">
        <v>8350550</v>
      </c>
      <c r="T174" s="53"/>
      <c r="U174" s="53"/>
      <c r="V174" s="53"/>
      <c r="W174" s="53">
        <v>8350550</v>
      </c>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row>
    <row r="175" spans="1:56" s="11" customFormat="1" ht="33" customHeight="1">
      <c r="A175" s="406" t="s">
        <v>180</v>
      </c>
      <c r="B175" s="45" t="s">
        <v>182</v>
      </c>
      <c r="C175" s="45"/>
      <c r="D175" s="39"/>
      <c r="E175" s="39"/>
      <c r="F175" s="39"/>
      <c r="G175" s="39"/>
      <c r="H175" s="40">
        <f t="shared" si="19"/>
        <v>0</v>
      </c>
      <c r="I175" s="39"/>
      <c r="J175" s="39"/>
      <c r="K175" s="39"/>
      <c r="L175" s="39"/>
      <c r="M175" s="39">
        <f t="shared" si="42"/>
        <v>0</v>
      </c>
      <c r="N175" s="39">
        <f aca="true" t="shared" si="70" ref="N175:Q176">+I175*4%+I175</f>
        <v>0</v>
      </c>
      <c r="O175" s="39">
        <f t="shared" si="70"/>
        <v>0</v>
      </c>
      <c r="P175" s="39">
        <f t="shared" si="70"/>
        <v>0</v>
      </c>
      <c r="Q175" s="39">
        <f t="shared" si="70"/>
        <v>0</v>
      </c>
      <c r="R175" s="39">
        <f t="shared" si="62"/>
        <v>0</v>
      </c>
      <c r="S175" s="39">
        <f t="shared" si="63"/>
        <v>0</v>
      </c>
      <c r="T175" s="39">
        <f t="shared" si="64"/>
        <v>0</v>
      </c>
      <c r="U175" s="39">
        <f t="shared" si="65"/>
        <v>0</v>
      </c>
      <c r="V175" s="39">
        <f t="shared" si="66"/>
        <v>0</v>
      </c>
      <c r="W175" s="39">
        <f t="shared" si="36"/>
        <v>0</v>
      </c>
      <c r="X175" s="76"/>
      <c r="Y175" s="76">
        <v>0</v>
      </c>
      <c r="Z175" s="76">
        <v>200</v>
      </c>
      <c r="AA175" s="76">
        <v>0</v>
      </c>
      <c r="AB175" s="76">
        <v>100</v>
      </c>
      <c r="AC175" s="76">
        <v>100</v>
      </c>
      <c r="AD175" s="76">
        <v>0</v>
      </c>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row>
    <row r="176" spans="1:56" s="11" customFormat="1" ht="28.5" customHeight="1">
      <c r="A176" s="408"/>
      <c r="B176" s="45" t="s">
        <v>181</v>
      </c>
      <c r="C176" s="45"/>
      <c r="D176" s="39">
        <v>7423609</v>
      </c>
      <c r="E176" s="39"/>
      <c r="F176" s="39"/>
      <c r="G176" s="39"/>
      <c r="H176" s="40">
        <f t="shared" si="19"/>
        <v>7423609</v>
      </c>
      <c r="I176" s="39">
        <v>7720553</v>
      </c>
      <c r="J176" s="39"/>
      <c r="K176" s="39"/>
      <c r="L176" s="39"/>
      <c r="M176" s="39">
        <f t="shared" si="42"/>
        <v>7720553</v>
      </c>
      <c r="N176" s="39">
        <f t="shared" si="70"/>
        <v>8029375.12</v>
      </c>
      <c r="O176" s="39">
        <f t="shared" si="70"/>
        <v>0</v>
      </c>
      <c r="P176" s="39">
        <f t="shared" si="70"/>
        <v>0</v>
      </c>
      <c r="Q176" s="39">
        <f t="shared" si="70"/>
        <v>0</v>
      </c>
      <c r="R176" s="39">
        <f t="shared" si="62"/>
        <v>8029375.12</v>
      </c>
      <c r="S176" s="39">
        <f t="shared" si="63"/>
        <v>8350550.1248</v>
      </c>
      <c r="T176" s="39">
        <f t="shared" si="64"/>
        <v>0</v>
      </c>
      <c r="U176" s="39">
        <f t="shared" si="65"/>
        <v>0</v>
      </c>
      <c r="V176" s="39">
        <f t="shared" si="66"/>
        <v>0</v>
      </c>
      <c r="W176" s="39">
        <f t="shared" si="36"/>
        <v>8350550.1248</v>
      </c>
      <c r="X176" s="76"/>
      <c r="Y176" s="76">
        <v>0</v>
      </c>
      <c r="Z176" s="76">
        <v>10</v>
      </c>
      <c r="AA176" s="76">
        <v>0</v>
      </c>
      <c r="AB176" s="76">
        <v>4</v>
      </c>
      <c r="AC176" s="76">
        <v>3</v>
      </c>
      <c r="AD176" s="76">
        <v>3</v>
      </c>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row>
    <row r="177" spans="1:56" s="11" customFormat="1" ht="28.5" customHeight="1">
      <c r="A177" s="408"/>
      <c r="B177" s="45" t="s">
        <v>183</v>
      </c>
      <c r="C177" s="45"/>
      <c r="D177" s="39"/>
      <c r="E177" s="39"/>
      <c r="F177" s="39"/>
      <c r="G177" s="39"/>
      <c r="H177" s="40"/>
      <c r="I177" s="39">
        <v>10000000</v>
      </c>
      <c r="J177" s="39"/>
      <c r="K177" s="39"/>
      <c r="L177" s="39"/>
      <c r="M177" s="39">
        <f t="shared" si="42"/>
        <v>10000000</v>
      </c>
      <c r="N177" s="39"/>
      <c r="O177" s="39"/>
      <c r="P177" s="39"/>
      <c r="Q177" s="39"/>
      <c r="R177" s="39"/>
      <c r="S177" s="39"/>
      <c r="T177" s="39"/>
      <c r="U177" s="39"/>
      <c r="V177" s="39"/>
      <c r="W177" s="39"/>
      <c r="X177" s="76"/>
      <c r="Y177" s="92">
        <v>0.6</v>
      </c>
      <c r="Z177" s="92">
        <v>0.8</v>
      </c>
      <c r="AA177" s="92">
        <v>0.05</v>
      </c>
      <c r="AB177" s="92">
        <v>0.05</v>
      </c>
      <c r="AC177" s="92">
        <v>0.05</v>
      </c>
      <c r="AD177" s="92">
        <v>0.05</v>
      </c>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91"/>
      <c r="BB177" s="76"/>
      <c r="BC177" s="76"/>
      <c r="BD177" s="76"/>
    </row>
    <row r="178" spans="1:56" s="11" customFormat="1" ht="51" customHeight="1">
      <c r="A178" s="408"/>
      <c r="B178" s="45" t="s">
        <v>184</v>
      </c>
      <c r="C178" s="45"/>
      <c r="D178" s="39"/>
      <c r="E178" s="39"/>
      <c r="F178" s="39"/>
      <c r="G178" s="39"/>
      <c r="H178" s="40">
        <f t="shared" si="19"/>
        <v>0</v>
      </c>
      <c r="I178" s="39"/>
      <c r="J178" s="39"/>
      <c r="K178" s="39"/>
      <c r="L178" s="39"/>
      <c r="M178" s="39">
        <f t="shared" si="42"/>
        <v>0</v>
      </c>
      <c r="N178" s="39">
        <f>+I178*4%+I178</f>
        <v>0</v>
      </c>
      <c r="O178" s="39">
        <f>+J178*4%+J178</f>
        <v>0</v>
      </c>
      <c r="P178" s="39">
        <f>+K178*4%+K178</f>
        <v>0</v>
      </c>
      <c r="Q178" s="39">
        <f>+L178*4%+L178</f>
        <v>0</v>
      </c>
      <c r="R178" s="39">
        <f t="shared" si="62"/>
        <v>0</v>
      </c>
      <c r="S178" s="39">
        <f t="shared" si="63"/>
        <v>0</v>
      </c>
      <c r="T178" s="39">
        <f t="shared" si="64"/>
        <v>0</v>
      </c>
      <c r="U178" s="39">
        <f t="shared" si="65"/>
        <v>0</v>
      </c>
      <c r="V178" s="39">
        <f t="shared" si="66"/>
        <v>0</v>
      </c>
      <c r="W178" s="39">
        <f t="shared" si="36"/>
        <v>0</v>
      </c>
      <c r="X178" s="76"/>
      <c r="Y178" s="76">
        <v>0</v>
      </c>
      <c r="Z178" s="76">
        <v>1</v>
      </c>
      <c r="AA178" s="76">
        <v>0</v>
      </c>
      <c r="AB178" s="92">
        <v>0.3</v>
      </c>
      <c r="AC178" s="92">
        <v>0.3</v>
      </c>
      <c r="AD178" s="92">
        <v>0.4</v>
      </c>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row>
    <row r="179" spans="1:56" s="11" customFormat="1" ht="15">
      <c r="A179" s="407"/>
      <c r="B179" s="31" t="s">
        <v>342</v>
      </c>
      <c r="C179" s="31"/>
      <c r="D179" s="33">
        <f>D175+D176+D177+D178</f>
        <v>7423609</v>
      </c>
      <c r="E179" s="33">
        <f aca="true" t="shared" si="71" ref="E179:W179">E175+E176+E177+E178</f>
        <v>0</v>
      </c>
      <c r="F179" s="33">
        <f t="shared" si="71"/>
        <v>0</v>
      </c>
      <c r="G179" s="33">
        <f t="shared" si="71"/>
        <v>0</v>
      </c>
      <c r="H179" s="33">
        <f t="shared" si="71"/>
        <v>7423609</v>
      </c>
      <c r="I179" s="33">
        <f t="shared" si="71"/>
        <v>17720553</v>
      </c>
      <c r="J179" s="33">
        <f t="shared" si="71"/>
        <v>0</v>
      </c>
      <c r="K179" s="33">
        <f t="shared" si="71"/>
        <v>0</v>
      </c>
      <c r="L179" s="33">
        <f t="shared" si="71"/>
        <v>0</v>
      </c>
      <c r="M179" s="33">
        <f t="shared" si="71"/>
        <v>17720553</v>
      </c>
      <c r="N179" s="33">
        <f t="shared" si="71"/>
        <v>8029375.12</v>
      </c>
      <c r="O179" s="33">
        <f t="shared" si="71"/>
        <v>0</v>
      </c>
      <c r="P179" s="33">
        <f t="shared" si="71"/>
        <v>0</v>
      </c>
      <c r="Q179" s="33">
        <f t="shared" si="71"/>
        <v>0</v>
      </c>
      <c r="R179" s="33">
        <f t="shared" si="71"/>
        <v>8029375.12</v>
      </c>
      <c r="S179" s="33">
        <f t="shared" si="71"/>
        <v>8350550.1248</v>
      </c>
      <c r="T179" s="33">
        <f t="shared" si="71"/>
        <v>0</v>
      </c>
      <c r="U179" s="33">
        <f t="shared" si="71"/>
        <v>0</v>
      </c>
      <c r="V179" s="33">
        <f t="shared" si="71"/>
        <v>0</v>
      </c>
      <c r="W179" s="33">
        <f t="shared" si="71"/>
        <v>8350550.1248</v>
      </c>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row>
    <row r="180" spans="1:56" s="11" customFormat="1" ht="15">
      <c r="A180" s="394" t="s">
        <v>68</v>
      </c>
      <c r="B180" s="395"/>
      <c r="C180" s="65"/>
      <c r="D180" s="53">
        <v>0</v>
      </c>
      <c r="E180" s="53">
        <v>33000000</v>
      </c>
      <c r="F180" s="52"/>
      <c r="G180" s="52"/>
      <c r="H180" s="51">
        <f>SUM(H181:H186)</f>
        <v>33000000</v>
      </c>
      <c r="I180" s="53"/>
      <c r="J180" s="53">
        <v>34320000</v>
      </c>
      <c r="K180" s="53"/>
      <c r="L180" s="53"/>
      <c r="M180" s="51">
        <v>34320000</v>
      </c>
      <c r="N180" s="53"/>
      <c r="O180" s="53">
        <v>35692800</v>
      </c>
      <c r="P180" s="53"/>
      <c r="Q180" s="53"/>
      <c r="R180" s="53">
        <v>35692800</v>
      </c>
      <c r="S180" s="53"/>
      <c r="T180" s="53">
        <v>37120512</v>
      </c>
      <c r="U180" s="53"/>
      <c r="V180" s="53"/>
      <c r="W180" s="51">
        <v>37120512</v>
      </c>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row>
    <row r="181" spans="1:56" s="41" customFormat="1" ht="41.25" customHeight="1">
      <c r="A181" s="406" t="s">
        <v>185</v>
      </c>
      <c r="B181" s="45" t="s">
        <v>188</v>
      </c>
      <c r="C181" s="45"/>
      <c r="D181" s="39"/>
      <c r="E181" s="39">
        <v>5000000</v>
      </c>
      <c r="F181" s="39"/>
      <c r="G181" s="39"/>
      <c r="H181" s="40">
        <f t="shared" si="19"/>
        <v>5000000</v>
      </c>
      <c r="I181" s="39"/>
      <c r="J181" s="39"/>
      <c r="K181" s="39"/>
      <c r="L181" s="39"/>
      <c r="M181" s="39">
        <f t="shared" si="42"/>
        <v>0</v>
      </c>
      <c r="N181" s="39">
        <f aca="true" t="shared" si="72" ref="N181:N186">+I181*4%+I181</f>
        <v>0</v>
      </c>
      <c r="O181" s="39">
        <f aca="true" t="shared" si="73" ref="O181:O186">+J181*4%+J181</f>
        <v>0</v>
      </c>
      <c r="P181" s="39">
        <f aca="true" t="shared" si="74" ref="P181:P186">+K181*4%+K181</f>
        <v>0</v>
      </c>
      <c r="Q181" s="39">
        <f aca="true" t="shared" si="75" ref="Q181:Q186">+L181*4%+L181</f>
        <v>0</v>
      </c>
      <c r="R181" s="39">
        <f t="shared" si="62"/>
        <v>0</v>
      </c>
      <c r="S181" s="39">
        <f t="shared" si="63"/>
        <v>0</v>
      </c>
      <c r="T181" s="39">
        <f t="shared" si="64"/>
        <v>0</v>
      </c>
      <c r="U181" s="39">
        <f t="shared" si="65"/>
        <v>0</v>
      </c>
      <c r="V181" s="39">
        <f t="shared" si="66"/>
        <v>0</v>
      </c>
      <c r="W181" s="39">
        <f t="shared" si="36"/>
        <v>0</v>
      </c>
      <c r="X181" s="75"/>
      <c r="Y181" s="75">
        <v>3</v>
      </c>
      <c r="Z181" s="75">
        <v>93</v>
      </c>
      <c r="AA181" s="75">
        <v>0</v>
      </c>
      <c r="AB181" s="75">
        <v>40</v>
      </c>
      <c r="AC181" s="75">
        <v>40</v>
      </c>
      <c r="AD181" s="75">
        <v>10</v>
      </c>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row>
    <row r="182" spans="1:56" s="41" customFormat="1" ht="41.25" customHeight="1">
      <c r="A182" s="408"/>
      <c r="B182" s="45" t="s">
        <v>187</v>
      </c>
      <c r="C182" s="45"/>
      <c r="D182" s="39"/>
      <c r="E182" s="39">
        <v>13000000</v>
      </c>
      <c r="F182" s="39"/>
      <c r="G182" s="39"/>
      <c r="H182" s="40">
        <f t="shared" si="19"/>
        <v>13000000</v>
      </c>
      <c r="I182" s="39"/>
      <c r="J182" s="39"/>
      <c r="K182" s="39"/>
      <c r="L182" s="39"/>
      <c r="M182" s="39">
        <f t="shared" si="42"/>
        <v>0</v>
      </c>
      <c r="N182" s="39">
        <f t="shared" si="72"/>
        <v>0</v>
      </c>
      <c r="O182" s="39">
        <f t="shared" si="73"/>
        <v>0</v>
      </c>
      <c r="P182" s="39">
        <f t="shared" si="74"/>
        <v>0</v>
      </c>
      <c r="Q182" s="39">
        <f t="shared" si="75"/>
        <v>0</v>
      </c>
      <c r="R182" s="39">
        <f t="shared" si="62"/>
        <v>0</v>
      </c>
      <c r="S182" s="39">
        <f t="shared" si="63"/>
        <v>0</v>
      </c>
      <c r="T182" s="39">
        <f t="shared" si="64"/>
        <v>0</v>
      </c>
      <c r="U182" s="39">
        <f t="shared" si="65"/>
        <v>0</v>
      </c>
      <c r="V182" s="39">
        <f t="shared" si="66"/>
        <v>0</v>
      </c>
      <c r="W182" s="39">
        <f t="shared" si="36"/>
        <v>0</v>
      </c>
      <c r="X182" s="75"/>
      <c r="Y182" s="75">
        <v>0</v>
      </c>
      <c r="Z182" s="75">
        <v>10</v>
      </c>
      <c r="AA182" s="75">
        <v>0</v>
      </c>
      <c r="AB182" s="75">
        <v>3</v>
      </c>
      <c r="AC182" s="75">
        <v>4</v>
      </c>
      <c r="AD182" s="75">
        <v>3</v>
      </c>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row>
    <row r="183" spans="1:56" s="41" customFormat="1" ht="35.25" customHeight="1">
      <c r="A183" s="408"/>
      <c r="B183" s="45" t="s">
        <v>186</v>
      </c>
      <c r="C183" s="45"/>
      <c r="D183" s="39"/>
      <c r="E183" s="39">
        <v>2000000</v>
      </c>
      <c r="F183" s="39"/>
      <c r="G183" s="39"/>
      <c r="H183" s="40">
        <f t="shared" si="19"/>
        <v>2000000</v>
      </c>
      <c r="I183" s="39"/>
      <c r="J183" s="39">
        <v>10000000</v>
      </c>
      <c r="K183" s="39"/>
      <c r="L183" s="39"/>
      <c r="M183" s="39">
        <f t="shared" si="42"/>
        <v>10000000</v>
      </c>
      <c r="N183" s="39">
        <f t="shared" si="72"/>
        <v>0</v>
      </c>
      <c r="O183" s="39">
        <f t="shared" si="73"/>
        <v>10400000</v>
      </c>
      <c r="P183" s="39">
        <f t="shared" si="74"/>
        <v>0</v>
      </c>
      <c r="Q183" s="39">
        <f t="shared" si="75"/>
        <v>0</v>
      </c>
      <c r="R183" s="39">
        <f t="shared" si="62"/>
        <v>10400000</v>
      </c>
      <c r="S183" s="39">
        <f t="shared" si="63"/>
        <v>0</v>
      </c>
      <c r="T183" s="39">
        <f t="shared" si="64"/>
        <v>10816000</v>
      </c>
      <c r="U183" s="39">
        <f t="shared" si="65"/>
        <v>0</v>
      </c>
      <c r="V183" s="39">
        <f t="shared" si="66"/>
        <v>0</v>
      </c>
      <c r="W183" s="39">
        <f t="shared" si="36"/>
        <v>10816000</v>
      </c>
      <c r="X183" s="75"/>
      <c r="Y183" s="75">
        <v>0</v>
      </c>
      <c r="Z183" s="75">
        <v>10</v>
      </c>
      <c r="AA183" s="75">
        <v>0</v>
      </c>
      <c r="AB183" s="75">
        <v>3</v>
      </c>
      <c r="AC183" s="75">
        <v>4</v>
      </c>
      <c r="AD183" s="75">
        <v>3</v>
      </c>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row>
    <row r="184" spans="1:56" s="41" customFormat="1" ht="30" customHeight="1">
      <c r="A184" s="408"/>
      <c r="B184" s="45" t="s">
        <v>189</v>
      </c>
      <c r="C184" s="45"/>
      <c r="D184" s="39"/>
      <c r="E184" s="39">
        <v>5000000</v>
      </c>
      <c r="F184" s="39"/>
      <c r="G184" s="39"/>
      <c r="H184" s="40">
        <f t="shared" si="19"/>
        <v>5000000</v>
      </c>
      <c r="I184" s="39"/>
      <c r="J184" s="39">
        <v>4320000</v>
      </c>
      <c r="K184" s="39"/>
      <c r="L184" s="39"/>
      <c r="M184" s="39">
        <f t="shared" si="42"/>
        <v>4320000</v>
      </c>
      <c r="N184" s="39">
        <f t="shared" si="72"/>
        <v>0</v>
      </c>
      <c r="O184" s="39">
        <f t="shared" si="73"/>
        <v>4492800</v>
      </c>
      <c r="P184" s="39">
        <f t="shared" si="74"/>
        <v>0</v>
      </c>
      <c r="Q184" s="39">
        <f t="shared" si="75"/>
        <v>0</v>
      </c>
      <c r="R184" s="39">
        <f t="shared" si="62"/>
        <v>4492800</v>
      </c>
      <c r="S184" s="39">
        <f t="shared" si="63"/>
        <v>0</v>
      </c>
      <c r="T184" s="39">
        <f t="shared" si="64"/>
        <v>4672512</v>
      </c>
      <c r="U184" s="39">
        <f t="shared" si="65"/>
        <v>0</v>
      </c>
      <c r="V184" s="39">
        <f t="shared" si="66"/>
        <v>0</v>
      </c>
      <c r="W184" s="39">
        <f t="shared" si="36"/>
        <v>4672512</v>
      </c>
      <c r="X184" s="75"/>
      <c r="Y184" s="75">
        <v>0</v>
      </c>
      <c r="Z184" s="75">
        <v>1</v>
      </c>
      <c r="AA184" s="75">
        <v>0</v>
      </c>
      <c r="AB184" s="75">
        <v>1</v>
      </c>
      <c r="AC184" s="75">
        <v>0</v>
      </c>
      <c r="AD184" s="75">
        <v>0</v>
      </c>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row>
    <row r="185" spans="1:56" s="41" customFormat="1" ht="42.75" customHeight="1">
      <c r="A185" s="408"/>
      <c r="B185" s="45" t="s">
        <v>190</v>
      </c>
      <c r="C185" s="45"/>
      <c r="D185" s="39"/>
      <c r="E185" s="39">
        <v>3000000</v>
      </c>
      <c r="F185" s="39"/>
      <c r="G185" s="39"/>
      <c r="H185" s="40">
        <f t="shared" si="19"/>
        <v>3000000</v>
      </c>
      <c r="I185" s="39"/>
      <c r="J185" s="39">
        <v>5000000</v>
      </c>
      <c r="K185" s="39"/>
      <c r="L185" s="39"/>
      <c r="M185" s="39">
        <f t="shared" si="42"/>
        <v>5000000</v>
      </c>
      <c r="N185" s="39">
        <f t="shared" si="72"/>
        <v>0</v>
      </c>
      <c r="O185" s="39">
        <f t="shared" si="73"/>
        <v>5200000</v>
      </c>
      <c r="P185" s="39">
        <f t="shared" si="74"/>
        <v>0</v>
      </c>
      <c r="Q185" s="39">
        <f t="shared" si="75"/>
        <v>0</v>
      </c>
      <c r="R185" s="39">
        <f t="shared" si="62"/>
        <v>5200000</v>
      </c>
      <c r="S185" s="39">
        <f t="shared" si="63"/>
        <v>0</v>
      </c>
      <c r="T185" s="39">
        <f t="shared" si="64"/>
        <v>5408000</v>
      </c>
      <c r="U185" s="39">
        <f t="shared" si="65"/>
        <v>0</v>
      </c>
      <c r="V185" s="39">
        <f t="shared" si="66"/>
        <v>0</v>
      </c>
      <c r="W185" s="39">
        <f aca="true" t="shared" si="76" ref="W185:W256">SUM(S185:V185)</f>
        <v>5408000</v>
      </c>
      <c r="X185" s="75"/>
      <c r="Y185" s="75">
        <v>0</v>
      </c>
      <c r="Z185" s="75">
        <v>28</v>
      </c>
      <c r="AA185" s="75">
        <v>0</v>
      </c>
      <c r="AB185" s="75">
        <v>10</v>
      </c>
      <c r="AC185" s="75">
        <v>10</v>
      </c>
      <c r="AD185" s="75">
        <v>8</v>
      </c>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row>
    <row r="186" spans="1:56" s="41" customFormat="1" ht="34.5" customHeight="1">
      <c r="A186" s="408"/>
      <c r="B186" s="45" t="s">
        <v>191</v>
      </c>
      <c r="C186" s="45"/>
      <c r="D186" s="39"/>
      <c r="E186" s="39">
        <v>5000000</v>
      </c>
      <c r="F186" s="39"/>
      <c r="G186" s="39"/>
      <c r="H186" s="40">
        <f t="shared" si="19"/>
        <v>5000000</v>
      </c>
      <c r="I186" s="39"/>
      <c r="J186" s="39">
        <v>15000000</v>
      </c>
      <c r="K186" s="39"/>
      <c r="L186" s="39"/>
      <c r="M186" s="39">
        <f t="shared" si="42"/>
        <v>15000000</v>
      </c>
      <c r="N186" s="39">
        <f t="shared" si="72"/>
        <v>0</v>
      </c>
      <c r="O186" s="39">
        <f t="shared" si="73"/>
        <v>15600000</v>
      </c>
      <c r="P186" s="39">
        <f t="shared" si="74"/>
        <v>0</v>
      </c>
      <c r="Q186" s="39">
        <f t="shared" si="75"/>
        <v>0</v>
      </c>
      <c r="R186" s="39">
        <f t="shared" si="62"/>
        <v>15600000</v>
      </c>
      <c r="S186" s="39">
        <f t="shared" si="63"/>
        <v>0</v>
      </c>
      <c r="T186" s="39">
        <f t="shared" si="64"/>
        <v>16224000</v>
      </c>
      <c r="U186" s="39">
        <f t="shared" si="65"/>
        <v>0</v>
      </c>
      <c r="V186" s="39">
        <f t="shared" si="66"/>
        <v>0</v>
      </c>
      <c r="W186" s="39">
        <f t="shared" si="76"/>
        <v>16224000</v>
      </c>
      <c r="X186" s="75"/>
      <c r="Y186" s="75">
        <v>0</v>
      </c>
      <c r="Z186" s="75">
        <v>60</v>
      </c>
      <c r="AA186" s="75">
        <v>0</v>
      </c>
      <c r="AB186" s="75">
        <v>20</v>
      </c>
      <c r="AC186" s="75">
        <v>20</v>
      </c>
      <c r="AD186" s="75">
        <v>20</v>
      </c>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row>
    <row r="187" spans="1:56" s="11" customFormat="1" ht="15">
      <c r="A187" s="407"/>
      <c r="B187" s="31" t="s">
        <v>342</v>
      </c>
      <c r="C187" s="31"/>
      <c r="D187" s="33">
        <v>0</v>
      </c>
      <c r="E187" s="33">
        <f>SUM(E181:E186)</f>
        <v>33000000</v>
      </c>
      <c r="F187" s="33">
        <f aca="true" t="shared" si="77" ref="F187:W187">SUM(F181:F186)</f>
        <v>0</v>
      </c>
      <c r="G187" s="33">
        <f t="shared" si="77"/>
        <v>0</v>
      </c>
      <c r="H187" s="33">
        <f t="shared" si="77"/>
        <v>33000000</v>
      </c>
      <c r="I187" s="33">
        <f t="shared" si="77"/>
        <v>0</v>
      </c>
      <c r="J187" s="33">
        <f t="shared" si="77"/>
        <v>34320000</v>
      </c>
      <c r="K187" s="33">
        <f t="shared" si="77"/>
        <v>0</v>
      </c>
      <c r="L187" s="33">
        <f t="shared" si="77"/>
        <v>0</v>
      </c>
      <c r="M187" s="33">
        <f t="shared" si="77"/>
        <v>34320000</v>
      </c>
      <c r="N187" s="33">
        <f t="shared" si="77"/>
        <v>0</v>
      </c>
      <c r="O187" s="33">
        <f t="shared" si="77"/>
        <v>35692800</v>
      </c>
      <c r="P187" s="33">
        <f t="shared" si="77"/>
        <v>0</v>
      </c>
      <c r="Q187" s="33">
        <f t="shared" si="77"/>
        <v>0</v>
      </c>
      <c r="R187" s="33">
        <f t="shared" si="77"/>
        <v>35692800</v>
      </c>
      <c r="S187" s="33">
        <f t="shared" si="77"/>
        <v>0</v>
      </c>
      <c r="T187" s="33">
        <f t="shared" si="77"/>
        <v>37120512</v>
      </c>
      <c r="U187" s="33">
        <f t="shared" si="77"/>
        <v>0</v>
      </c>
      <c r="V187" s="33">
        <f t="shared" si="77"/>
        <v>0</v>
      </c>
      <c r="W187" s="33">
        <f t="shared" si="77"/>
        <v>37120512</v>
      </c>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row>
    <row r="188" spans="1:56" s="10" customFormat="1" ht="15">
      <c r="A188" s="394" t="s">
        <v>56</v>
      </c>
      <c r="B188" s="395"/>
      <c r="C188" s="65"/>
      <c r="D188" s="53">
        <v>1121021</v>
      </c>
      <c r="E188" s="53">
        <v>31154000</v>
      </c>
      <c r="F188" s="52"/>
      <c r="G188" s="53">
        <v>250000</v>
      </c>
      <c r="H188" s="51">
        <f>D188+E188+F188+G188</f>
        <v>32525021</v>
      </c>
      <c r="I188" s="51">
        <v>11165862</v>
      </c>
      <c r="J188" s="51">
        <v>34826022</v>
      </c>
      <c r="K188" s="51"/>
      <c r="L188" s="51">
        <v>320000000</v>
      </c>
      <c r="M188" s="51">
        <f>I188+J188+K188+L188</f>
        <v>365991884</v>
      </c>
      <c r="N188" s="53">
        <v>11612496</v>
      </c>
      <c r="O188" s="53">
        <v>36219063</v>
      </c>
      <c r="P188" s="53"/>
      <c r="Q188" s="53">
        <v>332800000</v>
      </c>
      <c r="R188" s="53">
        <v>380631559</v>
      </c>
      <c r="S188" s="51">
        <v>12076996</v>
      </c>
      <c r="T188" s="51">
        <v>37667825</v>
      </c>
      <c r="U188" s="51"/>
      <c r="V188" s="51">
        <v>346112000</v>
      </c>
      <c r="W188" s="51">
        <v>395856822</v>
      </c>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row>
    <row r="189" spans="1:56" s="41" customFormat="1" ht="24">
      <c r="A189" s="406" t="s">
        <v>192</v>
      </c>
      <c r="B189" s="45" t="s">
        <v>193</v>
      </c>
      <c r="C189" s="45"/>
      <c r="D189" s="39"/>
      <c r="E189" s="39"/>
      <c r="F189" s="39"/>
      <c r="G189" s="39"/>
      <c r="H189" s="40">
        <f t="shared" si="19"/>
        <v>0</v>
      </c>
      <c r="I189" s="39"/>
      <c r="J189" s="39">
        <v>12000000</v>
      </c>
      <c r="K189" s="39"/>
      <c r="L189" s="39">
        <v>20000000</v>
      </c>
      <c r="M189" s="39">
        <f t="shared" si="42"/>
        <v>32000000</v>
      </c>
      <c r="N189" s="39">
        <f aca="true" t="shared" si="78" ref="N189:N197">+I189*4%+I189</f>
        <v>0</v>
      </c>
      <c r="O189" s="39">
        <f aca="true" t="shared" si="79" ref="O189:O197">+J189*4%+J189</f>
        <v>12480000</v>
      </c>
      <c r="P189" s="39">
        <f aca="true" t="shared" si="80" ref="P189:P197">+K189*4%+K189</f>
        <v>0</v>
      </c>
      <c r="Q189" s="39">
        <f aca="true" t="shared" si="81" ref="Q189:Q197">+L189*4%+L189</f>
        <v>20800000</v>
      </c>
      <c r="R189" s="39">
        <f t="shared" si="62"/>
        <v>33280000</v>
      </c>
      <c r="S189" s="39">
        <f aca="true" t="shared" si="82" ref="S189:S197">+N189*4%+N189</f>
        <v>0</v>
      </c>
      <c r="T189" s="39">
        <f aca="true" t="shared" si="83" ref="T189:T197">+O189*4%+O189</f>
        <v>12979200</v>
      </c>
      <c r="U189" s="39">
        <f aca="true" t="shared" si="84" ref="U189:U197">+P189*4%+P189</f>
        <v>0</v>
      </c>
      <c r="V189" s="39">
        <f aca="true" t="shared" si="85" ref="V189:V197">+Q189*4%+Q189</f>
        <v>21632000</v>
      </c>
      <c r="W189" s="39">
        <f t="shared" si="76"/>
        <v>34611200</v>
      </c>
      <c r="X189" s="75"/>
      <c r="Y189" s="75">
        <v>0</v>
      </c>
      <c r="Z189" s="75">
        <v>1</v>
      </c>
      <c r="AA189" s="75">
        <v>0</v>
      </c>
      <c r="AB189" s="75">
        <v>0</v>
      </c>
      <c r="AC189" s="75">
        <v>1</v>
      </c>
      <c r="AD189" s="75">
        <v>0</v>
      </c>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row>
    <row r="190" spans="1:56" s="41" customFormat="1" ht="24">
      <c r="A190" s="408"/>
      <c r="B190" s="45" t="s">
        <v>194</v>
      </c>
      <c r="C190" s="45"/>
      <c r="D190" s="39"/>
      <c r="E190" s="39"/>
      <c r="F190" s="39"/>
      <c r="G190" s="39"/>
      <c r="H190" s="40">
        <f t="shared" si="19"/>
        <v>0</v>
      </c>
      <c r="I190" s="39"/>
      <c r="J190" s="39">
        <v>3826022</v>
      </c>
      <c r="K190" s="39"/>
      <c r="L190" s="39"/>
      <c r="M190" s="39">
        <f t="shared" si="42"/>
        <v>3826022</v>
      </c>
      <c r="N190" s="39">
        <f t="shared" si="78"/>
        <v>0</v>
      </c>
      <c r="O190" s="39">
        <f t="shared" si="79"/>
        <v>3979062.88</v>
      </c>
      <c r="P190" s="39">
        <f t="shared" si="80"/>
        <v>0</v>
      </c>
      <c r="Q190" s="39">
        <f t="shared" si="81"/>
        <v>0</v>
      </c>
      <c r="R190" s="39">
        <f t="shared" si="62"/>
        <v>3979062.88</v>
      </c>
      <c r="S190" s="39">
        <f t="shared" si="82"/>
        <v>0</v>
      </c>
      <c r="T190" s="39">
        <f t="shared" si="83"/>
        <v>4138225.3951999997</v>
      </c>
      <c r="U190" s="39">
        <f t="shared" si="84"/>
        <v>0</v>
      </c>
      <c r="V190" s="39">
        <f t="shared" si="85"/>
        <v>0</v>
      </c>
      <c r="W190" s="39">
        <f t="shared" si="76"/>
        <v>4138225.3951999997</v>
      </c>
      <c r="X190" s="75"/>
      <c r="Y190" s="75">
        <v>0</v>
      </c>
      <c r="Z190" s="75">
        <v>3</v>
      </c>
      <c r="AA190" s="75">
        <v>0</v>
      </c>
      <c r="AB190" s="75">
        <v>1</v>
      </c>
      <c r="AC190" s="75">
        <v>1</v>
      </c>
      <c r="AD190" s="75">
        <v>1</v>
      </c>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row>
    <row r="191" spans="1:56" s="41" customFormat="1" ht="36">
      <c r="A191" s="408"/>
      <c r="B191" s="45" t="s">
        <v>195</v>
      </c>
      <c r="C191" s="45"/>
      <c r="D191" s="39"/>
      <c r="E191" s="39"/>
      <c r="F191" s="39"/>
      <c r="G191" s="39"/>
      <c r="H191" s="40">
        <f t="shared" si="19"/>
        <v>0</v>
      </c>
      <c r="I191" s="39"/>
      <c r="J191" s="39">
        <v>5000000</v>
      </c>
      <c r="K191" s="39"/>
      <c r="L191" s="39"/>
      <c r="M191" s="39">
        <f t="shared" si="42"/>
        <v>5000000</v>
      </c>
      <c r="N191" s="39">
        <f t="shared" si="78"/>
        <v>0</v>
      </c>
      <c r="O191" s="39">
        <f t="shared" si="79"/>
        <v>5200000</v>
      </c>
      <c r="P191" s="39">
        <f t="shared" si="80"/>
        <v>0</v>
      </c>
      <c r="Q191" s="39">
        <f t="shared" si="81"/>
        <v>0</v>
      </c>
      <c r="R191" s="39">
        <f t="shared" si="62"/>
        <v>5200000</v>
      </c>
      <c r="S191" s="39">
        <f t="shared" si="82"/>
        <v>0</v>
      </c>
      <c r="T191" s="39">
        <f t="shared" si="83"/>
        <v>5408000</v>
      </c>
      <c r="U191" s="39">
        <f t="shared" si="84"/>
        <v>0</v>
      </c>
      <c r="V191" s="39">
        <f t="shared" si="85"/>
        <v>0</v>
      </c>
      <c r="W191" s="39">
        <f t="shared" si="76"/>
        <v>5408000</v>
      </c>
      <c r="X191" s="75"/>
      <c r="Y191" s="75">
        <v>0</v>
      </c>
      <c r="Z191" s="86">
        <v>1</v>
      </c>
      <c r="AA191" s="86">
        <v>0.25</v>
      </c>
      <c r="AB191" s="86">
        <v>0.25</v>
      </c>
      <c r="AC191" s="86">
        <v>0.25</v>
      </c>
      <c r="AD191" s="86">
        <v>0.25</v>
      </c>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91"/>
      <c r="BB191" s="75"/>
      <c r="BC191" s="75"/>
      <c r="BD191" s="75"/>
    </row>
    <row r="192" spans="1:56" s="41" customFormat="1" ht="24">
      <c r="A192" s="408"/>
      <c r="B192" s="45" t="s">
        <v>196</v>
      </c>
      <c r="C192" s="45"/>
      <c r="D192" s="39"/>
      <c r="E192" s="39"/>
      <c r="F192" s="39"/>
      <c r="G192" s="39"/>
      <c r="H192" s="40">
        <f t="shared" si="19"/>
        <v>0</v>
      </c>
      <c r="I192" s="39">
        <v>10000000</v>
      </c>
      <c r="J192" s="39"/>
      <c r="K192" s="39"/>
      <c r="L192" s="39"/>
      <c r="M192" s="39">
        <f t="shared" si="42"/>
        <v>10000000</v>
      </c>
      <c r="N192" s="39">
        <f t="shared" si="78"/>
        <v>10400000</v>
      </c>
      <c r="O192" s="39">
        <f t="shared" si="79"/>
        <v>0</v>
      </c>
      <c r="P192" s="39">
        <f t="shared" si="80"/>
        <v>0</v>
      </c>
      <c r="Q192" s="39">
        <f t="shared" si="81"/>
        <v>0</v>
      </c>
      <c r="R192" s="39">
        <f t="shared" si="62"/>
        <v>10400000</v>
      </c>
      <c r="S192" s="39">
        <f t="shared" si="82"/>
        <v>10816000</v>
      </c>
      <c r="T192" s="39">
        <f t="shared" si="83"/>
        <v>0</v>
      </c>
      <c r="U192" s="39">
        <f t="shared" si="84"/>
        <v>0</v>
      </c>
      <c r="V192" s="39">
        <f t="shared" si="85"/>
        <v>0</v>
      </c>
      <c r="W192" s="39">
        <f t="shared" si="76"/>
        <v>10816000</v>
      </c>
      <c r="X192" s="75"/>
      <c r="Y192" s="75">
        <v>0</v>
      </c>
      <c r="Z192" s="75">
        <v>1</v>
      </c>
      <c r="AA192" s="75">
        <v>0</v>
      </c>
      <c r="AB192" s="75">
        <v>0</v>
      </c>
      <c r="AC192" s="75">
        <v>0</v>
      </c>
      <c r="AD192" s="75">
        <v>1</v>
      </c>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row>
    <row r="193" spans="1:56" s="41" customFormat="1" ht="36">
      <c r="A193" s="408"/>
      <c r="B193" s="45" t="s">
        <v>197</v>
      </c>
      <c r="C193" s="45"/>
      <c r="D193" s="39"/>
      <c r="E193" s="39"/>
      <c r="F193" s="39"/>
      <c r="G193" s="39"/>
      <c r="H193" s="40">
        <f t="shared" si="19"/>
        <v>0</v>
      </c>
      <c r="I193" s="39"/>
      <c r="J193" s="39">
        <v>6000000</v>
      </c>
      <c r="K193" s="39"/>
      <c r="L193" s="39"/>
      <c r="M193" s="39">
        <f t="shared" si="42"/>
        <v>6000000</v>
      </c>
      <c r="N193" s="39">
        <f t="shared" si="78"/>
        <v>0</v>
      </c>
      <c r="O193" s="39">
        <f t="shared" si="79"/>
        <v>6240000</v>
      </c>
      <c r="P193" s="39">
        <f t="shared" si="80"/>
        <v>0</v>
      </c>
      <c r="Q193" s="39">
        <f t="shared" si="81"/>
        <v>0</v>
      </c>
      <c r="R193" s="39">
        <f t="shared" si="62"/>
        <v>6240000</v>
      </c>
      <c r="S193" s="39">
        <f t="shared" si="82"/>
        <v>0</v>
      </c>
      <c r="T193" s="39">
        <f t="shared" si="83"/>
        <v>6489600</v>
      </c>
      <c r="U193" s="39">
        <f t="shared" si="84"/>
        <v>0</v>
      </c>
      <c r="V193" s="39">
        <f t="shared" si="85"/>
        <v>0</v>
      </c>
      <c r="W193" s="39">
        <f t="shared" si="76"/>
        <v>6489600</v>
      </c>
      <c r="X193" s="75"/>
      <c r="Y193" s="75">
        <v>0</v>
      </c>
      <c r="Z193" s="75">
        <v>1</v>
      </c>
      <c r="AA193" s="86">
        <v>0.25</v>
      </c>
      <c r="AB193" s="86">
        <v>0.25</v>
      </c>
      <c r="AC193" s="86">
        <v>0.25</v>
      </c>
      <c r="AD193" s="86">
        <v>0.25</v>
      </c>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91"/>
      <c r="BB193" s="75"/>
      <c r="BC193" s="75"/>
      <c r="BD193" s="75"/>
    </row>
    <row r="194" spans="1:56" s="41" customFormat="1" ht="36">
      <c r="A194" s="408"/>
      <c r="B194" s="45" t="s">
        <v>198</v>
      </c>
      <c r="C194" s="45"/>
      <c r="D194" s="39">
        <v>1121021</v>
      </c>
      <c r="E194" s="39">
        <v>31154000</v>
      </c>
      <c r="F194" s="39"/>
      <c r="G194" s="39">
        <v>250000</v>
      </c>
      <c r="H194" s="40">
        <f t="shared" si="19"/>
        <v>32525021</v>
      </c>
      <c r="I194" s="39">
        <f>+D194*4%+D194</f>
        <v>1165861.84</v>
      </c>
      <c r="J194" s="39"/>
      <c r="K194" s="39"/>
      <c r="L194" s="39"/>
      <c r="M194" s="39">
        <f t="shared" si="42"/>
        <v>1165861.84</v>
      </c>
      <c r="N194" s="39">
        <f t="shared" si="78"/>
        <v>1212496.3136</v>
      </c>
      <c r="O194" s="39">
        <f t="shared" si="79"/>
        <v>0</v>
      </c>
      <c r="P194" s="39">
        <f t="shared" si="80"/>
        <v>0</v>
      </c>
      <c r="Q194" s="39">
        <f t="shared" si="81"/>
        <v>0</v>
      </c>
      <c r="R194" s="39">
        <f t="shared" si="62"/>
        <v>1212496.3136</v>
      </c>
      <c r="S194" s="39">
        <f t="shared" si="82"/>
        <v>1260996.166144</v>
      </c>
      <c r="T194" s="39">
        <f t="shared" si="83"/>
        <v>0</v>
      </c>
      <c r="U194" s="39">
        <f t="shared" si="84"/>
        <v>0</v>
      </c>
      <c r="V194" s="39">
        <f t="shared" si="85"/>
        <v>0</v>
      </c>
      <c r="W194" s="39">
        <f t="shared" si="76"/>
        <v>1260996.166144</v>
      </c>
      <c r="X194" s="75"/>
      <c r="Y194" s="75">
        <v>0</v>
      </c>
      <c r="Z194" s="86">
        <v>1</v>
      </c>
      <c r="AA194" s="86">
        <v>0.25</v>
      </c>
      <c r="AB194" s="86">
        <v>0.25</v>
      </c>
      <c r="AC194" s="86">
        <v>0.25</v>
      </c>
      <c r="AD194" s="86">
        <v>0.25</v>
      </c>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91"/>
      <c r="BB194" s="75"/>
      <c r="BC194" s="75"/>
      <c r="BD194" s="75"/>
    </row>
    <row r="195" spans="1:56" s="41" customFormat="1" ht="24">
      <c r="A195" s="408"/>
      <c r="B195" s="45" t="s">
        <v>199</v>
      </c>
      <c r="C195" s="45"/>
      <c r="D195" s="39"/>
      <c r="E195" s="39"/>
      <c r="F195" s="39"/>
      <c r="G195" s="39"/>
      <c r="H195" s="40">
        <f t="shared" si="19"/>
        <v>0</v>
      </c>
      <c r="I195" s="39"/>
      <c r="J195" s="39"/>
      <c r="K195" s="39"/>
      <c r="L195" s="39">
        <v>100000000</v>
      </c>
      <c r="M195" s="39">
        <f t="shared" si="42"/>
        <v>100000000</v>
      </c>
      <c r="N195" s="39">
        <f t="shared" si="78"/>
        <v>0</v>
      </c>
      <c r="O195" s="39">
        <f t="shared" si="79"/>
        <v>0</v>
      </c>
      <c r="P195" s="39">
        <f t="shared" si="80"/>
        <v>0</v>
      </c>
      <c r="Q195" s="39">
        <f t="shared" si="81"/>
        <v>104000000</v>
      </c>
      <c r="R195" s="39">
        <f t="shared" si="62"/>
        <v>104000000</v>
      </c>
      <c r="S195" s="39">
        <f t="shared" si="82"/>
        <v>0</v>
      </c>
      <c r="T195" s="39">
        <f t="shared" si="83"/>
        <v>0</v>
      </c>
      <c r="U195" s="39">
        <f t="shared" si="84"/>
        <v>0</v>
      </c>
      <c r="V195" s="39">
        <f t="shared" si="85"/>
        <v>108160000</v>
      </c>
      <c r="W195" s="39">
        <f t="shared" si="76"/>
        <v>108160000</v>
      </c>
      <c r="X195" s="75"/>
      <c r="Y195" s="75">
        <v>0</v>
      </c>
      <c r="Z195" s="86">
        <v>1</v>
      </c>
      <c r="AA195" s="86">
        <v>0.25</v>
      </c>
      <c r="AB195" s="86">
        <v>0.25</v>
      </c>
      <c r="AC195" s="86">
        <v>0.25</v>
      </c>
      <c r="AD195" s="86">
        <v>0.25</v>
      </c>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91"/>
      <c r="BB195" s="75"/>
      <c r="BC195" s="75"/>
      <c r="BD195" s="75"/>
    </row>
    <row r="196" spans="1:56" s="41" customFormat="1" ht="24">
      <c r="A196" s="408"/>
      <c r="B196" s="45" t="s">
        <v>200</v>
      </c>
      <c r="C196" s="45"/>
      <c r="D196" s="39"/>
      <c r="E196" s="39"/>
      <c r="F196" s="39"/>
      <c r="G196" s="39"/>
      <c r="H196" s="40">
        <f t="shared" si="19"/>
        <v>0</v>
      </c>
      <c r="I196" s="39"/>
      <c r="J196" s="39"/>
      <c r="K196" s="39"/>
      <c r="L196" s="39">
        <v>200000000</v>
      </c>
      <c r="M196" s="39">
        <f t="shared" si="42"/>
        <v>200000000</v>
      </c>
      <c r="N196" s="39">
        <f t="shared" si="78"/>
        <v>0</v>
      </c>
      <c r="O196" s="39">
        <f t="shared" si="79"/>
        <v>0</v>
      </c>
      <c r="P196" s="39">
        <f t="shared" si="80"/>
        <v>0</v>
      </c>
      <c r="Q196" s="39">
        <f t="shared" si="81"/>
        <v>208000000</v>
      </c>
      <c r="R196" s="39">
        <f t="shared" si="62"/>
        <v>208000000</v>
      </c>
      <c r="S196" s="39">
        <f t="shared" si="82"/>
        <v>0</v>
      </c>
      <c r="T196" s="39">
        <f t="shared" si="83"/>
        <v>0</v>
      </c>
      <c r="U196" s="39">
        <f t="shared" si="84"/>
        <v>0</v>
      </c>
      <c r="V196" s="39">
        <f t="shared" si="85"/>
        <v>216320000</v>
      </c>
      <c r="W196" s="39">
        <f t="shared" si="76"/>
        <v>216320000</v>
      </c>
      <c r="X196" s="75"/>
      <c r="Y196" s="75">
        <v>0</v>
      </c>
      <c r="Z196" s="86">
        <v>1</v>
      </c>
      <c r="AA196" s="86">
        <v>0.25</v>
      </c>
      <c r="AB196" s="86">
        <v>0.25</v>
      </c>
      <c r="AC196" s="86">
        <v>0.25</v>
      </c>
      <c r="AD196" s="86">
        <v>0.25</v>
      </c>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91"/>
      <c r="BB196" s="75"/>
      <c r="BC196" s="75"/>
      <c r="BD196" s="75"/>
    </row>
    <row r="197" spans="1:56" s="41" customFormat="1" ht="24">
      <c r="A197" s="408"/>
      <c r="B197" s="45" t="s">
        <v>201</v>
      </c>
      <c r="C197" s="45"/>
      <c r="D197" s="39"/>
      <c r="E197" s="39"/>
      <c r="F197" s="39"/>
      <c r="G197" s="39"/>
      <c r="H197" s="40">
        <f t="shared" si="19"/>
        <v>0</v>
      </c>
      <c r="I197" s="39"/>
      <c r="J197" s="39">
        <v>8000000</v>
      </c>
      <c r="K197" s="39"/>
      <c r="L197" s="39"/>
      <c r="M197" s="39">
        <f t="shared" si="42"/>
        <v>8000000</v>
      </c>
      <c r="N197" s="39">
        <f t="shared" si="78"/>
        <v>0</v>
      </c>
      <c r="O197" s="39">
        <f t="shared" si="79"/>
        <v>8320000</v>
      </c>
      <c r="P197" s="39">
        <f t="shared" si="80"/>
        <v>0</v>
      </c>
      <c r="Q197" s="39">
        <f t="shared" si="81"/>
        <v>0</v>
      </c>
      <c r="R197" s="39">
        <f t="shared" si="62"/>
        <v>8320000</v>
      </c>
      <c r="S197" s="39">
        <f t="shared" si="82"/>
        <v>0</v>
      </c>
      <c r="T197" s="39">
        <f t="shared" si="83"/>
        <v>8652800</v>
      </c>
      <c r="U197" s="39">
        <f t="shared" si="84"/>
        <v>0</v>
      </c>
      <c r="V197" s="39">
        <f t="shared" si="85"/>
        <v>0</v>
      </c>
      <c r="W197" s="39">
        <f t="shared" si="76"/>
        <v>8652800</v>
      </c>
      <c r="X197" s="75"/>
      <c r="Y197" s="75">
        <v>0</v>
      </c>
      <c r="Z197" s="75">
        <v>2</v>
      </c>
      <c r="AA197" s="75">
        <v>0</v>
      </c>
      <c r="AB197" s="75">
        <v>1</v>
      </c>
      <c r="AC197" s="75">
        <v>1</v>
      </c>
      <c r="AD197" s="75">
        <v>0</v>
      </c>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row>
    <row r="198" spans="1:56" s="11" customFormat="1" ht="15">
      <c r="A198" s="407"/>
      <c r="B198" s="31" t="s">
        <v>342</v>
      </c>
      <c r="C198" s="31"/>
      <c r="D198" s="33">
        <f>SUM(D189:D197)</f>
        <v>1121021</v>
      </c>
      <c r="E198" s="33">
        <f aca="true" t="shared" si="86" ref="E198:W198">SUM(E189:E197)</f>
        <v>31154000</v>
      </c>
      <c r="F198" s="33">
        <f t="shared" si="86"/>
        <v>0</v>
      </c>
      <c r="G198" s="33">
        <f t="shared" si="86"/>
        <v>250000</v>
      </c>
      <c r="H198" s="33">
        <f t="shared" si="86"/>
        <v>32525021</v>
      </c>
      <c r="I198" s="33">
        <f t="shared" si="86"/>
        <v>11165861.84</v>
      </c>
      <c r="J198" s="33">
        <f t="shared" si="86"/>
        <v>34826022</v>
      </c>
      <c r="K198" s="33">
        <f t="shared" si="86"/>
        <v>0</v>
      </c>
      <c r="L198" s="33">
        <f t="shared" si="86"/>
        <v>320000000</v>
      </c>
      <c r="M198" s="33">
        <f t="shared" si="86"/>
        <v>365991883.84000003</v>
      </c>
      <c r="N198" s="33">
        <f t="shared" si="86"/>
        <v>11612496.3136</v>
      </c>
      <c r="O198" s="33">
        <f t="shared" si="86"/>
        <v>36219062.879999995</v>
      </c>
      <c r="P198" s="33">
        <f t="shared" si="86"/>
        <v>0</v>
      </c>
      <c r="Q198" s="33">
        <f t="shared" si="86"/>
        <v>332800000</v>
      </c>
      <c r="R198" s="33">
        <f t="shared" si="86"/>
        <v>380631559.1936</v>
      </c>
      <c r="S198" s="33">
        <f t="shared" si="86"/>
        <v>12076996.166144</v>
      </c>
      <c r="T198" s="33">
        <f t="shared" si="86"/>
        <v>37667825.3952</v>
      </c>
      <c r="U198" s="33">
        <f t="shared" si="86"/>
        <v>0</v>
      </c>
      <c r="V198" s="33">
        <f t="shared" si="86"/>
        <v>346112000</v>
      </c>
      <c r="W198" s="33">
        <f t="shared" si="86"/>
        <v>395856821.561344</v>
      </c>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row>
    <row r="199" spans="1:56" s="11" customFormat="1" ht="15">
      <c r="A199" s="394" t="s">
        <v>69</v>
      </c>
      <c r="B199" s="395"/>
      <c r="C199" s="65"/>
      <c r="D199" s="52">
        <v>0</v>
      </c>
      <c r="E199" s="53">
        <v>42500000</v>
      </c>
      <c r="F199" s="52"/>
      <c r="G199" s="52"/>
      <c r="H199" s="54">
        <f>D199+E199+F199+G199</f>
        <v>42500000</v>
      </c>
      <c r="I199" s="53"/>
      <c r="J199" s="53">
        <v>46072000</v>
      </c>
      <c r="K199" s="53"/>
      <c r="L199" s="53"/>
      <c r="M199" s="51">
        <v>46072000</v>
      </c>
      <c r="N199" s="53"/>
      <c r="O199" s="53">
        <v>47914880</v>
      </c>
      <c r="P199" s="53"/>
      <c r="Q199" s="53"/>
      <c r="R199" s="53">
        <v>47914880</v>
      </c>
      <c r="S199" s="51"/>
      <c r="T199" s="51">
        <v>49831475</v>
      </c>
      <c r="U199" s="51"/>
      <c r="V199" s="51"/>
      <c r="W199" s="51">
        <v>49831475</v>
      </c>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row>
    <row r="200" spans="1:56" s="11" customFormat="1" ht="36">
      <c r="A200" s="411" t="s">
        <v>292</v>
      </c>
      <c r="B200" s="45" t="s">
        <v>203</v>
      </c>
      <c r="C200" s="45"/>
      <c r="D200" s="39"/>
      <c r="E200" s="39">
        <v>1000000</v>
      </c>
      <c r="F200" s="39"/>
      <c r="G200" s="39"/>
      <c r="H200" s="40">
        <f t="shared" si="19"/>
        <v>1000000</v>
      </c>
      <c r="I200" s="39"/>
      <c r="J200" s="39"/>
      <c r="K200" s="39"/>
      <c r="L200" s="39"/>
      <c r="M200" s="39">
        <f t="shared" si="42"/>
        <v>0</v>
      </c>
      <c r="N200" s="39">
        <f>+I200*4%+I200</f>
        <v>0</v>
      </c>
      <c r="O200" s="39">
        <f>+J200*4%+J200</f>
        <v>0</v>
      </c>
      <c r="P200" s="39">
        <f>+K200*4%+K200</f>
        <v>0</v>
      </c>
      <c r="Q200" s="39">
        <f>+L200*4%+L200</f>
        <v>0</v>
      </c>
      <c r="R200" s="39">
        <f t="shared" si="62"/>
        <v>0</v>
      </c>
      <c r="S200" s="39">
        <f aca="true" t="shared" si="87" ref="S200:S240">+N200*4%+N200</f>
        <v>0</v>
      </c>
      <c r="T200" s="39">
        <f aca="true" t="shared" si="88" ref="T200:T240">+O200*4%+O200</f>
        <v>0</v>
      </c>
      <c r="U200" s="39">
        <f aca="true" t="shared" si="89" ref="U200:U240">+P200*4%+P200</f>
        <v>0</v>
      </c>
      <c r="V200" s="39">
        <f aca="true" t="shared" si="90" ref="V200:V240">+Q200*4%+Q200</f>
        <v>0</v>
      </c>
      <c r="W200" s="39">
        <f t="shared" si="76"/>
        <v>0</v>
      </c>
      <c r="X200" s="76"/>
      <c r="Y200" s="76">
        <v>0</v>
      </c>
      <c r="Z200" s="76">
        <v>1</v>
      </c>
      <c r="AA200" s="76">
        <v>1</v>
      </c>
      <c r="AB200" s="76">
        <v>0</v>
      </c>
      <c r="AC200" s="76">
        <v>0</v>
      </c>
      <c r="AD200" s="76">
        <v>0</v>
      </c>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t="s">
        <v>375</v>
      </c>
      <c r="BB200" s="76"/>
      <c r="BC200" s="76"/>
      <c r="BD200" s="76"/>
    </row>
    <row r="201" spans="1:56" s="11" customFormat="1" ht="30" customHeight="1">
      <c r="A201" s="412"/>
      <c r="B201" s="45" t="s">
        <v>204</v>
      </c>
      <c r="C201" s="45"/>
      <c r="D201" s="39"/>
      <c r="E201" s="39">
        <f>8000000</f>
        <v>8000000</v>
      </c>
      <c r="F201" s="39"/>
      <c r="G201" s="39"/>
      <c r="H201" s="40">
        <f t="shared" si="19"/>
        <v>8000000</v>
      </c>
      <c r="I201" s="39"/>
      <c r="J201" s="39">
        <v>10000000</v>
      </c>
      <c r="K201" s="39"/>
      <c r="L201" s="39"/>
      <c r="M201" s="39">
        <f t="shared" si="42"/>
        <v>10000000</v>
      </c>
      <c r="N201" s="39">
        <f aca="true" t="shared" si="91" ref="N201:N207">+I201*4%+I201</f>
        <v>0</v>
      </c>
      <c r="O201" s="39">
        <f aca="true" t="shared" si="92" ref="O201:O207">+J201*4%+J201</f>
        <v>10400000</v>
      </c>
      <c r="P201" s="39">
        <f aca="true" t="shared" si="93" ref="P201:P207">+K201*4%+K201</f>
        <v>0</v>
      </c>
      <c r="Q201" s="39">
        <f aca="true" t="shared" si="94" ref="Q201:Q207">+L201*4%+L201</f>
        <v>0</v>
      </c>
      <c r="R201" s="39">
        <f t="shared" si="62"/>
        <v>10400000</v>
      </c>
      <c r="S201" s="39">
        <f t="shared" si="87"/>
        <v>0</v>
      </c>
      <c r="T201" s="39">
        <f t="shared" si="88"/>
        <v>10816000</v>
      </c>
      <c r="U201" s="39">
        <f t="shared" si="89"/>
        <v>0</v>
      </c>
      <c r="V201" s="39">
        <f t="shared" si="90"/>
        <v>0</v>
      </c>
      <c r="W201" s="39">
        <f t="shared" si="76"/>
        <v>10816000</v>
      </c>
      <c r="X201" s="76"/>
      <c r="Y201" s="76">
        <v>3</v>
      </c>
      <c r="Z201" s="76">
        <v>10</v>
      </c>
      <c r="AA201" s="76">
        <v>0</v>
      </c>
      <c r="AB201" s="76">
        <v>3</v>
      </c>
      <c r="AC201" s="76">
        <v>2</v>
      </c>
      <c r="AD201" s="76">
        <v>1</v>
      </c>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76"/>
    </row>
    <row r="202" spans="1:56" s="11" customFormat="1" ht="48.75" customHeight="1">
      <c r="A202" s="412"/>
      <c r="B202" s="45" t="s">
        <v>205</v>
      </c>
      <c r="C202" s="45"/>
      <c r="D202" s="39"/>
      <c r="E202" s="39">
        <v>200000</v>
      </c>
      <c r="F202" s="39"/>
      <c r="G202" s="39"/>
      <c r="H202" s="40">
        <f t="shared" si="19"/>
        <v>200000</v>
      </c>
      <c r="I202" s="39"/>
      <c r="J202" s="39">
        <v>4000000</v>
      </c>
      <c r="K202" s="39"/>
      <c r="L202" s="39"/>
      <c r="M202" s="39">
        <f t="shared" si="42"/>
        <v>4000000</v>
      </c>
      <c r="N202" s="39">
        <f t="shared" si="91"/>
        <v>0</v>
      </c>
      <c r="O202" s="39">
        <f t="shared" si="92"/>
        <v>4160000</v>
      </c>
      <c r="P202" s="39">
        <f t="shared" si="93"/>
        <v>0</v>
      </c>
      <c r="Q202" s="39">
        <f t="shared" si="94"/>
        <v>0</v>
      </c>
      <c r="R202" s="39">
        <f t="shared" si="62"/>
        <v>4160000</v>
      </c>
      <c r="S202" s="39">
        <f t="shared" si="87"/>
        <v>0</v>
      </c>
      <c r="T202" s="39">
        <f t="shared" si="88"/>
        <v>4326400</v>
      </c>
      <c r="U202" s="39">
        <f t="shared" si="89"/>
        <v>0</v>
      </c>
      <c r="V202" s="39">
        <f t="shared" si="90"/>
        <v>0</v>
      </c>
      <c r="W202" s="39">
        <f t="shared" si="76"/>
        <v>4326400</v>
      </c>
      <c r="X202" s="76"/>
      <c r="Y202" s="76">
        <v>0</v>
      </c>
      <c r="Z202" s="76">
        <v>4</v>
      </c>
      <c r="AA202" s="76">
        <v>1</v>
      </c>
      <c r="AB202" s="76">
        <v>1</v>
      </c>
      <c r="AC202" s="76">
        <v>1</v>
      </c>
      <c r="AD202" s="76">
        <v>1</v>
      </c>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91"/>
      <c r="BB202" s="76"/>
      <c r="BC202" s="76"/>
      <c r="BD202" s="76"/>
    </row>
    <row r="203" spans="1:56" s="11" customFormat="1" ht="36">
      <c r="A203" s="412"/>
      <c r="B203" s="45" t="s">
        <v>206</v>
      </c>
      <c r="C203" s="45"/>
      <c r="D203" s="39"/>
      <c r="E203" s="39">
        <v>3000000</v>
      </c>
      <c r="F203" s="39"/>
      <c r="G203" s="39"/>
      <c r="H203" s="40">
        <f t="shared" si="19"/>
        <v>3000000</v>
      </c>
      <c r="I203" s="39"/>
      <c r="J203" s="39">
        <v>5000000</v>
      </c>
      <c r="K203" s="39"/>
      <c r="L203" s="39"/>
      <c r="M203" s="39">
        <f t="shared" si="42"/>
        <v>5000000</v>
      </c>
      <c r="N203" s="39">
        <f t="shared" si="91"/>
        <v>0</v>
      </c>
      <c r="O203" s="39">
        <f t="shared" si="92"/>
        <v>5200000</v>
      </c>
      <c r="P203" s="39">
        <f t="shared" si="93"/>
        <v>0</v>
      </c>
      <c r="Q203" s="39">
        <f t="shared" si="94"/>
        <v>0</v>
      </c>
      <c r="R203" s="39">
        <f t="shared" si="62"/>
        <v>5200000</v>
      </c>
      <c r="S203" s="39">
        <f t="shared" si="87"/>
        <v>0</v>
      </c>
      <c r="T203" s="39">
        <f t="shared" si="88"/>
        <v>5408000</v>
      </c>
      <c r="U203" s="39">
        <f t="shared" si="89"/>
        <v>0</v>
      </c>
      <c r="V203" s="39">
        <f t="shared" si="90"/>
        <v>0</v>
      </c>
      <c r="W203" s="39">
        <f t="shared" si="76"/>
        <v>5408000</v>
      </c>
      <c r="X203" s="76"/>
      <c r="Y203" s="76">
        <v>0</v>
      </c>
      <c r="Z203" s="76">
        <v>10</v>
      </c>
      <c r="AA203" s="76">
        <v>0</v>
      </c>
      <c r="AB203" s="76">
        <v>4</v>
      </c>
      <c r="AC203" s="76">
        <v>4</v>
      </c>
      <c r="AD203" s="76">
        <v>2</v>
      </c>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BD203" s="76"/>
    </row>
    <row r="204" spans="1:56" s="11" customFormat="1" ht="36">
      <c r="A204" s="412"/>
      <c r="B204" s="45" t="s">
        <v>364</v>
      </c>
      <c r="C204" s="45"/>
      <c r="D204" s="39"/>
      <c r="E204" s="39">
        <v>5000000</v>
      </c>
      <c r="F204" s="39"/>
      <c r="G204" s="39"/>
      <c r="H204" s="40">
        <f t="shared" si="19"/>
        <v>5000000</v>
      </c>
      <c r="I204" s="39"/>
      <c r="J204" s="39"/>
      <c r="K204" s="39"/>
      <c r="L204" s="39"/>
      <c r="M204" s="39">
        <f t="shared" si="42"/>
        <v>0</v>
      </c>
      <c r="N204" s="39">
        <f t="shared" si="91"/>
        <v>0</v>
      </c>
      <c r="O204" s="39">
        <f t="shared" si="92"/>
        <v>0</v>
      </c>
      <c r="P204" s="39">
        <f t="shared" si="93"/>
        <v>0</v>
      </c>
      <c r="Q204" s="39">
        <f t="shared" si="94"/>
        <v>0</v>
      </c>
      <c r="R204" s="39">
        <f t="shared" si="62"/>
        <v>0</v>
      </c>
      <c r="S204" s="39">
        <f t="shared" si="87"/>
        <v>0</v>
      </c>
      <c r="T204" s="39">
        <f t="shared" si="88"/>
        <v>0</v>
      </c>
      <c r="U204" s="39">
        <f t="shared" si="89"/>
        <v>0</v>
      </c>
      <c r="V204" s="39">
        <f t="shared" si="90"/>
        <v>0</v>
      </c>
      <c r="W204" s="39">
        <f t="shared" si="76"/>
        <v>0</v>
      </c>
      <c r="X204" s="76"/>
      <c r="Y204" s="76">
        <v>0</v>
      </c>
      <c r="Z204" s="76">
        <v>5</v>
      </c>
      <c r="AA204" s="76">
        <v>0</v>
      </c>
      <c r="AB204" s="76">
        <v>3</v>
      </c>
      <c r="AC204" s="76">
        <v>1</v>
      </c>
      <c r="AD204" s="76">
        <v>1</v>
      </c>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row>
    <row r="205" spans="1:56" s="11" customFormat="1" ht="39" customHeight="1">
      <c r="A205" s="412"/>
      <c r="B205" s="45" t="s">
        <v>207</v>
      </c>
      <c r="C205" s="45"/>
      <c r="D205" s="39"/>
      <c r="E205" s="39">
        <v>20000000</v>
      </c>
      <c r="F205" s="39"/>
      <c r="G205" s="39"/>
      <c r="H205" s="40">
        <f t="shared" si="19"/>
        <v>20000000</v>
      </c>
      <c r="I205" s="39"/>
      <c r="J205" s="39">
        <v>25000000</v>
      </c>
      <c r="K205" s="39"/>
      <c r="L205" s="39"/>
      <c r="M205" s="39">
        <f t="shared" si="42"/>
        <v>25000000</v>
      </c>
      <c r="N205" s="39">
        <f t="shared" si="91"/>
        <v>0</v>
      </c>
      <c r="O205" s="39">
        <f t="shared" si="92"/>
        <v>26000000</v>
      </c>
      <c r="P205" s="39">
        <f t="shared" si="93"/>
        <v>0</v>
      </c>
      <c r="Q205" s="39">
        <f t="shared" si="94"/>
        <v>0</v>
      </c>
      <c r="R205" s="39">
        <f t="shared" si="62"/>
        <v>26000000</v>
      </c>
      <c r="S205" s="39">
        <f t="shared" si="87"/>
        <v>0</v>
      </c>
      <c r="T205" s="39">
        <f t="shared" si="88"/>
        <v>27040000</v>
      </c>
      <c r="U205" s="39">
        <f t="shared" si="89"/>
        <v>0</v>
      </c>
      <c r="V205" s="39">
        <f t="shared" si="90"/>
        <v>0</v>
      </c>
      <c r="W205" s="39">
        <f t="shared" si="76"/>
        <v>27040000</v>
      </c>
      <c r="X205" s="76"/>
      <c r="Y205" s="76">
        <v>0</v>
      </c>
      <c r="Z205" s="92">
        <v>1</v>
      </c>
      <c r="AA205" s="92">
        <v>0.25</v>
      </c>
      <c r="AB205" s="92">
        <v>0.25</v>
      </c>
      <c r="AC205" s="92">
        <v>0.25</v>
      </c>
      <c r="AD205" s="92">
        <v>0.25</v>
      </c>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91"/>
      <c r="BB205" s="76"/>
      <c r="BC205" s="76"/>
      <c r="BD205" s="76"/>
    </row>
    <row r="206" spans="1:56" s="11" customFormat="1" ht="37.5" customHeight="1">
      <c r="A206" s="412"/>
      <c r="B206" s="45" t="s">
        <v>208</v>
      </c>
      <c r="C206" s="45"/>
      <c r="D206" s="39"/>
      <c r="E206" s="39">
        <v>2000000</v>
      </c>
      <c r="F206" s="39"/>
      <c r="G206" s="39"/>
      <c r="H206" s="40">
        <f t="shared" si="19"/>
        <v>2000000</v>
      </c>
      <c r="I206" s="39"/>
      <c r="J206" s="39">
        <v>2072000</v>
      </c>
      <c r="K206" s="39"/>
      <c r="L206" s="39"/>
      <c r="M206" s="39">
        <f>SUM(I206:L206)</f>
        <v>2072000</v>
      </c>
      <c r="N206" s="39">
        <f t="shared" si="91"/>
        <v>0</v>
      </c>
      <c r="O206" s="39">
        <f t="shared" si="92"/>
        <v>2154880</v>
      </c>
      <c r="P206" s="39">
        <f t="shared" si="93"/>
        <v>0</v>
      </c>
      <c r="Q206" s="39">
        <f t="shared" si="94"/>
        <v>0</v>
      </c>
      <c r="R206" s="39">
        <f t="shared" si="62"/>
        <v>2154880</v>
      </c>
      <c r="S206" s="39">
        <f t="shared" si="87"/>
        <v>0</v>
      </c>
      <c r="T206" s="39">
        <f t="shared" si="88"/>
        <v>2241075.2</v>
      </c>
      <c r="U206" s="39">
        <f t="shared" si="89"/>
        <v>0</v>
      </c>
      <c r="V206" s="39">
        <f t="shared" si="90"/>
        <v>0</v>
      </c>
      <c r="W206" s="39">
        <f t="shared" si="76"/>
        <v>2241075.2</v>
      </c>
      <c r="X206" s="76"/>
      <c r="Y206" s="76">
        <f>-Y206</f>
        <v>0</v>
      </c>
      <c r="Z206" s="76">
        <v>10</v>
      </c>
      <c r="AA206" s="76">
        <v>0</v>
      </c>
      <c r="AB206" s="76">
        <v>3</v>
      </c>
      <c r="AC206" s="76">
        <v>4</v>
      </c>
      <c r="AD206" s="76">
        <v>3</v>
      </c>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row>
    <row r="207" spans="1:56" s="11" customFormat="1" ht="30" customHeight="1">
      <c r="A207" s="412"/>
      <c r="B207" s="45" t="s">
        <v>202</v>
      </c>
      <c r="C207" s="45"/>
      <c r="D207" s="39"/>
      <c r="E207" s="39">
        <v>3300000</v>
      </c>
      <c r="F207" s="39"/>
      <c r="G207" s="39"/>
      <c r="H207" s="40">
        <f t="shared" si="19"/>
        <v>3300000</v>
      </c>
      <c r="I207" s="39"/>
      <c r="J207" s="39"/>
      <c r="K207" s="39"/>
      <c r="L207" s="39"/>
      <c r="M207" s="39">
        <f>SUM(I207:L207)</f>
        <v>0</v>
      </c>
      <c r="N207" s="39">
        <f t="shared" si="91"/>
        <v>0</v>
      </c>
      <c r="O207" s="39">
        <f t="shared" si="92"/>
        <v>0</v>
      </c>
      <c r="P207" s="39">
        <f t="shared" si="93"/>
        <v>0</v>
      </c>
      <c r="Q207" s="39">
        <f t="shared" si="94"/>
        <v>0</v>
      </c>
      <c r="R207" s="39">
        <f t="shared" si="62"/>
        <v>0</v>
      </c>
      <c r="S207" s="39">
        <f t="shared" si="87"/>
        <v>0</v>
      </c>
      <c r="T207" s="39">
        <f t="shared" si="88"/>
        <v>0</v>
      </c>
      <c r="U207" s="39">
        <f t="shared" si="89"/>
        <v>0</v>
      </c>
      <c r="V207" s="39">
        <f t="shared" si="90"/>
        <v>0</v>
      </c>
      <c r="W207" s="39">
        <f t="shared" si="76"/>
        <v>0</v>
      </c>
      <c r="X207" s="76"/>
      <c r="Y207" s="76">
        <v>2</v>
      </c>
      <c r="Z207" s="76">
        <v>10</v>
      </c>
      <c r="AA207" s="76">
        <v>2</v>
      </c>
      <c r="AB207" s="76">
        <v>3</v>
      </c>
      <c r="AC207" s="76">
        <v>3</v>
      </c>
      <c r="AD207" s="76">
        <v>0</v>
      </c>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91"/>
      <c r="BB207" s="76"/>
      <c r="BC207" s="76"/>
      <c r="BD207" s="76"/>
    </row>
    <row r="208" spans="1:56" s="11" customFormat="1" ht="15">
      <c r="A208" s="413"/>
      <c r="B208" s="31" t="s">
        <v>342</v>
      </c>
      <c r="C208" s="31"/>
      <c r="D208" s="33"/>
      <c r="E208" s="33">
        <f>SUM(E200:E207)</f>
        <v>42500000</v>
      </c>
      <c r="F208" s="33">
        <f aca="true" t="shared" si="95" ref="F208:W208">SUM(F200:F207)</f>
        <v>0</v>
      </c>
      <c r="G208" s="33">
        <f t="shared" si="95"/>
        <v>0</v>
      </c>
      <c r="H208" s="33">
        <f t="shared" si="95"/>
        <v>42500000</v>
      </c>
      <c r="I208" s="33">
        <f t="shared" si="95"/>
        <v>0</v>
      </c>
      <c r="J208" s="33">
        <f t="shared" si="95"/>
        <v>46072000</v>
      </c>
      <c r="K208" s="33">
        <f t="shared" si="95"/>
        <v>0</v>
      </c>
      <c r="L208" s="33">
        <f t="shared" si="95"/>
        <v>0</v>
      </c>
      <c r="M208" s="33">
        <f t="shared" si="95"/>
        <v>46072000</v>
      </c>
      <c r="N208" s="33">
        <f t="shared" si="95"/>
        <v>0</v>
      </c>
      <c r="O208" s="33">
        <f t="shared" si="95"/>
        <v>47914880</v>
      </c>
      <c r="P208" s="33">
        <f t="shared" si="95"/>
        <v>0</v>
      </c>
      <c r="Q208" s="33">
        <f t="shared" si="95"/>
        <v>0</v>
      </c>
      <c r="R208" s="33">
        <f t="shared" si="95"/>
        <v>47914880</v>
      </c>
      <c r="S208" s="33">
        <f t="shared" si="95"/>
        <v>0</v>
      </c>
      <c r="T208" s="33">
        <f t="shared" si="95"/>
        <v>49831475.2</v>
      </c>
      <c r="U208" s="33">
        <f t="shared" si="95"/>
        <v>0</v>
      </c>
      <c r="V208" s="33">
        <f t="shared" si="95"/>
        <v>0</v>
      </c>
      <c r="W208" s="33">
        <f t="shared" si="95"/>
        <v>49831475.2</v>
      </c>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BD208" s="76"/>
    </row>
    <row r="209" spans="1:56" s="11" customFormat="1" ht="15">
      <c r="A209" s="394" t="s">
        <v>70</v>
      </c>
      <c r="B209" s="395"/>
      <c r="C209" s="65"/>
      <c r="D209" s="51">
        <f>SUM(D210:D211)</f>
        <v>0</v>
      </c>
      <c r="E209" s="51">
        <f>SUM(E210:E211)</f>
        <v>0</v>
      </c>
      <c r="F209" s="51">
        <f>SUM(F210:F211)</f>
        <v>0</v>
      </c>
      <c r="G209" s="51">
        <f>SUM(G210:G211)</f>
        <v>0</v>
      </c>
      <c r="H209" s="51">
        <f>SUM(H210:H211)</f>
        <v>0</v>
      </c>
      <c r="I209" s="53"/>
      <c r="J209" s="53">
        <v>5000000</v>
      </c>
      <c r="K209" s="53"/>
      <c r="L209" s="53"/>
      <c r="M209" s="53">
        <v>5000000</v>
      </c>
      <c r="N209" s="53"/>
      <c r="O209" s="53">
        <v>5200000</v>
      </c>
      <c r="P209" s="53"/>
      <c r="Q209" s="53"/>
      <c r="R209" s="53">
        <v>5200000</v>
      </c>
      <c r="S209" s="53"/>
      <c r="T209" s="53">
        <v>5408000</v>
      </c>
      <c r="U209" s="53"/>
      <c r="V209" s="53"/>
      <c r="W209" s="53">
        <v>5408000</v>
      </c>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row>
    <row r="210" spans="1:56" s="41" customFormat="1" ht="69.75" customHeight="1">
      <c r="A210" s="406" t="s">
        <v>209</v>
      </c>
      <c r="B210" s="45" t="s">
        <v>210</v>
      </c>
      <c r="C210" s="45"/>
      <c r="D210" s="39"/>
      <c r="E210" s="39"/>
      <c r="F210" s="39"/>
      <c r="G210" s="39"/>
      <c r="H210" s="40">
        <f t="shared" si="19"/>
        <v>0</v>
      </c>
      <c r="I210" s="39"/>
      <c r="J210" s="39">
        <v>5000000</v>
      </c>
      <c r="K210" s="39"/>
      <c r="L210" s="39"/>
      <c r="M210" s="39">
        <f aca="true" t="shared" si="96" ref="M210:M240">SUM(I210:L210)</f>
        <v>5000000</v>
      </c>
      <c r="N210" s="39">
        <f>+I210*4%+I210</f>
        <v>0</v>
      </c>
      <c r="O210" s="39">
        <f>+J210*4%+J210</f>
        <v>5200000</v>
      </c>
      <c r="P210" s="39">
        <f>+K210*4%+K210</f>
        <v>0</v>
      </c>
      <c r="Q210" s="39">
        <f>+L210*4%+L210</f>
        <v>0</v>
      </c>
      <c r="R210" s="39">
        <f t="shared" si="62"/>
        <v>5200000</v>
      </c>
      <c r="S210" s="39">
        <f t="shared" si="87"/>
        <v>0</v>
      </c>
      <c r="T210" s="39">
        <f t="shared" si="88"/>
        <v>5408000</v>
      </c>
      <c r="U210" s="39">
        <f t="shared" si="89"/>
        <v>0</v>
      </c>
      <c r="V210" s="39">
        <f t="shared" si="90"/>
        <v>0</v>
      </c>
      <c r="W210" s="39">
        <f t="shared" si="76"/>
        <v>5408000</v>
      </c>
      <c r="X210" s="75"/>
      <c r="Y210" s="75">
        <v>0</v>
      </c>
      <c r="Z210" s="93">
        <v>0.6</v>
      </c>
      <c r="AA210" s="93">
        <v>0</v>
      </c>
      <c r="AB210" s="93">
        <v>0.2</v>
      </c>
      <c r="AC210" s="93">
        <v>0.2</v>
      </c>
      <c r="AD210" s="93">
        <v>0.2</v>
      </c>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row>
    <row r="211" spans="1:56" s="41" customFormat="1" ht="56.25" customHeight="1">
      <c r="A211" s="408"/>
      <c r="B211" s="45" t="s">
        <v>365</v>
      </c>
      <c r="C211" s="45"/>
      <c r="D211" s="39"/>
      <c r="E211" s="39"/>
      <c r="F211" s="39"/>
      <c r="G211" s="39"/>
      <c r="H211" s="40"/>
      <c r="I211" s="39"/>
      <c r="J211" s="39"/>
      <c r="K211" s="39"/>
      <c r="L211" s="39"/>
      <c r="M211" s="39"/>
      <c r="N211" s="39"/>
      <c r="O211" s="39"/>
      <c r="P211" s="39"/>
      <c r="Q211" s="39"/>
      <c r="R211" s="39"/>
      <c r="S211" s="39"/>
      <c r="T211" s="39"/>
      <c r="U211" s="39"/>
      <c r="V211" s="42"/>
      <c r="W211" s="42"/>
      <c r="X211" s="75"/>
      <c r="Y211" s="75">
        <v>0</v>
      </c>
      <c r="Z211" s="75">
        <v>4</v>
      </c>
      <c r="AA211" s="75">
        <v>1</v>
      </c>
      <c r="AB211" s="75">
        <v>1</v>
      </c>
      <c r="AC211" s="75">
        <v>1</v>
      </c>
      <c r="AD211" s="75">
        <v>1</v>
      </c>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t="s">
        <v>375</v>
      </c>
      <c r="BB211" s="75"/>
      <c r="BC211" s="75"/>
      <c r="BD211" s="75"/>
    </row>
    <row r="212" spans="1:56" s="11" customFormat="1" ht="15">
      <c r="A212" s="407"/>
      <c r="B212" s="31" t="s">
        <v>342</v>
      </c>
      <c r="C212" s="31"/>
      <c r="D212" s="33">
        <f>D210+D211</f>
        <v>0</v>
      </c>
      <c r="E212" s="33">
        <f>E210+E211</f>
        <v>0</v>
      </c>
      <c r="F212" s="33">
        <f aca="true" t="shared" si="97" ref="F212:W212">F210+F211</f>
        <v>0</v>
      </c>
      <c r="G212" s="33">
        <f t="shared" si="97"/>
        <v>0</v>
      </c>
      <c r="H212" s="33">
        <f t="shared" si="97"/>
        <v>0</v>
      </c>
      <c r="I212" s="33">
        <f t="shared" si="97"/>
        <v>0</v>
      </c>
      <c r="J212" s="33">
        <f t="shared" si="97"/>
        <v>5000000</v>
      </c>
      <c r="K212" s="33">
        <f t="shared" si="97"/>
        <v>0</v>
      </c>
      <c r="L212" s="33">
        <f t="shared" si="97"/>
        <v>0</v>
      </c>
      <c r="M212" s="33">
        <f t="shared" si="97"/>
        <v>5000000</v>
      </c>
      <c r="N212" s="33">
        <f t="shared" si="97"/>
        <v>0</v>
      </c>
      <c r="O212" s="33">
        <f t="shared" si="97"/>
        <v>5200000</v>
      </c>
      <c r="P212" s="33">
        <f t="shared" si="97"/>
        <v>0</v>
      </c>
      <c r="Q212" s="33">
        <f t="shared" si="97"/>
        <v>0</v>
      </c>
      <c r="R212" s="33">
        <f t="shared" si="97"/>
        <v>5200000</v>
      </c>
      <c r="S212" s="33">
        <f t="shared" si="97"/>
        <v>0</v>
      </c>
      <c r="T212" s="33">
        <f t="shared" si="97"/>
        <v>5408000</v>
      </c>
      <c r="U212" s="33">
        <f t="shared" si="97"/>
        <v>0</v>
      </c>
      <c r="V212" s="33">
        <f t="shared" si="97"/>
        <v>0</v>
      </c>
      <c r="W212" s="33">
        <f t="shared" si="97"/>
        <v>5408000</v>
      </c>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row>
    <row r="213" spans="1:56" s="11" customFormat="1" ht="15">
      <c r="A213" s="394" t="s">
        <v>293</v>
      </c>
      <c r="B213" s="395"/>
      <c r="C213" s="65"/>
      <c r="D213" s="52">
        <v>0</v>
      </c>
      <c r="E213" s="53">
        <v>1500000</v>
      </c>
      <c r="F213" s="52"/>
      <c r="G213" s="52"/>
      <c r="H213" s="51">
        <f>SUM(H214:H215)</f>
        <v>1500000</v>
      </c>
      <c r="I213" s="53"/>
      <c r="J213" s="53">
        <v>3960000</v>
      </c>
      <c r="K213" s="53"/>
      <c r="L213" s="53"/>
      <c r="M213" s="53">
        <v>3960000</v>
      </c>
      <c r="N213" s="53"/>
      <c r="O213" s="53">
        <v>4118400</v>
      </c>
      <c r="P213" s="53"/>
      <c r="Q213" s="53"/>
      <c r="R213" s="53">
        <v>4118400</v>
      </c>
      <c r="S213" s="53"/>
      <c r="T213" s="53">
        <v>4283136</v>
      </c>
      <c r="U213" s="53"/>
      <c r="V213" s="53"/>
      <c r="W213" s="53">
        <v>4283136</v>
      </c>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c r="BC213" s="76"/>
      <c r="BD213" s="76"/>
    </row>
    <row r="214" spans="1:56" s="41" customFormat="1" ht="41.25" customHeight="1">
      <c r="A214" s="406" t="s">
        <v>294</v>
      </c>
      <c r="B214" s="45" t="s">
        <v>296</v>
      </c>
      <c r="C214" s="45"/>
      <c r="D214" s="39">
        <f>SUM(D212:D213)</f>
        <v>0</v>
      </c>
      <c r="E214" s="39">
        <v>1500000</v>
      </c>
      <c r="F214" s="39"/>
      <c r="G214" s="39"/>
      <c r="H214" s="40">
        <f>SUM(D214:G214)</f>
        <v>1500000</v>
      </c>
      <c r="I214" s="39"/>
      <c r="J214" s="39">
        <v>1560000</v>
      </c>
      <c r="K214" s="39"/>
      <c r="L214" s="39"/>
      <c r="M214" s="39">
        <f>SUM(I214:L214)</f>
        <v>1560000</v>
      </c>
      <c r="N214" s="39">
        <f aca="true" t="shared" si="98" ref="N214:Q215">+I214*4%+I214</f>
        <v>0</v>
      </c>
      <c r="O214" s="39">
        <f t="shared" si="98"/>
        <v>1622400</v>
      </c>
      <c r="P214" s="39">
        <f t="shared" si="98"/>
        <v>0</v>
      </c>
      <c r="Q214" s="39">
        <f t="shared" si="98"/>
        <v>0</v>
      </c>
      <c r="R214" s="39">
        <f>SUM(N214:Q214)</f>
        <v>1622400</v>
      </c>
      <c r="S214" s="39">
        <f aca="true" t="shared" si="99" ref="S214:V215">+N214*4%+N214</f>
        <v>0</v>
      </c>
      <c r="T214" s="39">
        <f t="shared" si="99"/>
        <v>1687296</v>
      </c>
      <c r="U214" s="39">
        <f t="shared" si="99"/>
        <v>0</v>
      </c>
      <c r="V214" s="39">
        <f t="shared" si="99"/>
        <v>0</v>
      </c>
      <c r="W214" s="39">
        <f>SUM(S214:V214)</f>
        <v>1687296</v>
      </c>
      <c r="X214" s="75"/>
      <c r="Y214" s="75">
        <v>0</v>
      </c>
      <c r="Z214" s="75">
        <v>1</v>
      </c>
      <c r="AA214" s="75">
        <v>0</v>
      </c>
      <c r="AB214" s="75">
        <v>1</v>
      </c>
      <c r="AC214" s="75">
        <v>0</v>
      </c>
      <c r="AD214" s="75">
        <v>0</v>
      </c>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row>
    <row r="215" spans="1:56" s="41" customFormat="1" ht="29.25" customHeight="1">
      <c r="A215" s="408"/>
      <c r="B215" s="45" t="s">
        <v>295</v>
      </c>
      <c r="C215" s="45"/>
      <c r="D215" s="39">
        <f>SUM(D213:D214)</f>
        <v>0</v>
      </c>
      <c r="E215" s="39"/>
      <c r="F215" s="39"/>
      <c r="G215" s="39"/>
      <c r="H215" s="40">
        <f>SUM(D215:G215)</f>
        <v>0</v>
      </c>
      <c r="I215" s="39"/>
      <c r="J215" s="39">
        <v>2400000</v>
      </c>
      <c r="K215" s="39"/>
      <c r="L215" s="39"/>
      <c r="M215" s="39">
        <f>SUM(I215:L215)</f>
        <v>2400000</v>
      </c>
      <c r="N215" s="39">
        <f t="shared" si="98"/>
        <v>0</v>
      </c>
      <c r="O215" s="39">
        <f t="shared" si="98"/>
        <v>2496000</v>
      </c>
      <c r="P215" s="39">
        <f t="shared" si="98"/>
        <v>0</v>
      </c>
      <c r="Q215" s="39">
        <f t="shared" si="98"/>
        <v>0</v>
      </c>
      <c r="R215" s="39">
        <f>SUM(N215:Q215)</f>
        <v>2496000</v>
      </c>
      <c r="S215" s="39">
        <f t="shared" si="99"/>
        <v>0</v>
      </c>
      <c r="T215" s="39">
        <f t="shared" si="99"/>
        <v>2595840</v>
      </c>
      <c r="U215" s="39">
        <f t="shared" si="99"/>
        <v>0</v>
      </c>
      <c r="V215" s="39">
        <f t="shared" si="99"/>
        <v>0</v>
      </c>
      <c r="W215" s="39">
        <f>SUM(S215:V215)</f>
        <v>2595840</v>
      </c>
      <c r="X215" s="75"/>
      <c r="Y215" s="75">
        <v>0</v>
      </c>
      <c r="Z215" s="75">
        <v>10</v>
      </c>
      <c r="AA215" s="75">
        <v>0</v>
      </c>
      <c r="AB215" s="75">
        <v>4</v>
      </c>
      <c r="AC215" s="75">
        <v>4</v>
      </c>
      <c r="AD215" s="75">
        <v>2</v>
      </c>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row>
    <row r="216" spans="1:56" s="11" customFormat="1" ht="15">
      <c r="A216" s="407"/>
      <c r="B216" s="31" t="s">
        <v>342</v>
      </c>
      <c r="C216" s="31"/>
      <c r="D216" s="33">
        <f>SUM(D214:D215)</f>
        <v>0</v>
      </c>
      <c r="E216" s="33">
        <f aca="true" t="shared" si="100" ref="E216:W216">SUM(E214:E215)</f>
        <v>1500000</v>
      </c>
      <c r="F216" s="33">
        <f t="shared" si="100"/>
        <v>0</v>
      </c>
      <c r="G216" s="33">
        <f t="shared" si="100"/>
        <v>0</v>
      </c>
      <c r="H216" s="33">
        <f t="shared" si="100"/>
        <v>1500000</v>
      </c>
      <c r="I216" s="33">
        <f t="shared" si="100"/>
        <v>0</v>
      </c>
      <c r="J216" s="33">
        <f t="shared" si="100"/>
        <v>3960000</v>
      </c>
      <c r="K216" s="33">
        <f t="shared" si="100"/>
        <v>0</v>
      </c>
      <c r="L216" s="33">
        <f t="shared" si="100"/>
        <v>0</v>
      </c>
      <c r="M216" s="33">
        <f t="shared" si="100"/>
        <v>3960000</v>
      </c>
      <c r="N216" s="33">
        <f t="shared" si="100"/>
        <v>0</v>
      </c>
      <c r="O216" s="33">
        <f t="shared" si="100"/>
        <v>4118400</v>
      </c>
      <c r="P216" s="33">
        <f t="shared" si="100"/>
        <v>0</v>
      </c>
      <c r="Q216" s="33">
        <f t="shared" si="100"/>
        <v>0</v>
      </c>
      <c r="R216" s="33">
        <f t="shared" si="100"/>
        <v>4118400</v>
      </c>
      <c r="S216" s="33">
        <f t="shared" si="100"/>
        <v>0</v>
      </c>
      <c r="T216" s="33">
        <f t="shared" si="100"/>
        <v>4283136</v>
      </c>
      <c r="U216" s="33">
        <f t="shared" si="100"/>
        <v>0</v>
      </c>
      <c r="V216" s="33">
        <f t="shared" si="100"/>
        <v>0</v>
      </c>
      <c r="W216" s="33">
        <f t="shared" si="100"/>
        <v>4283136</v>
      </c>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row>
    <row r="217" spans="1:56" s="11" customFormat="1" ht="15">
      <c r="A217" s="394" t="s">
        <v>71</v>
      </c>
      <c r="B217" s="395"/>
      <c r="C217" s="65"/>
      <c r="D217" s="51">
        <v>12039979</v>
      </c>
      <c r="E217" s="51">
        <v>127522896</v>
      </c>
      <c r="F217" s="51">
        <v>28496777</v>
      </c>
      <c r="G217" s="51">
        <v>500000</v>
      </c>
      <c r="H217" s="51">
        <f>SUM(D217:G217)</f>
        <v>168559652</v>
      </c>
      <c r="I217" s="51">
        <v>12521578</v>
      </c>
      <c r="J217" s="51">
        <v>155159020</v>
      </c>
      <c r="K217" s="51"/>
      <c r="L217" s="51">
        <v>520000</v>
      </c>
      <c r="M217" s="51">
        <f>I217+J217+K217+L217</f>
        <v>168200598</v>
      </c>
      <c r="N217" s="51">
        <v>6273280</v>
      </c>
      <c r="O217" s="51">
        <v>161581701</v>
      </c>
      <c r="P217" s="51"/>
      <c r="Q217" s="51">
        <v>1081600</v>
      </c>
      <c r="R217" s="51">
        <f>N217+O217+P217+Q217</f>
        <v>168936581</v>
      </c>
      <c r="S217" s="51">
        <v>13543339</v>
      </c>
      <c r="T217" s="51">
        <v>167819996</v>
      </c>
      <c r="U217" s="51">
        <f>SUM(U218:U240)</f>
        <v>0</v>
      </c>
      <c r="V217" s="51">
        <v>562432</v>
      </c>
      <c r="W217" s="51">
        <f>S217+T217+U217+V217</f>
        <v>181925767</v>
      </c>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76"/>
    </row>
    <row r="218" spans="1:56" s="41" customFormat="1" ht="33" customHeight="1">
      <c r="A218" s="406" t="s">
        <v>211</v>
      </c>
      <c r="B218" s="38" t="s">
        <v>212</v>
      </c>
      <c r="C218" s="38"/>
      <c r="D218" s="46"/>
      <c r="E218" s="46"/>
      <c r="F218" s="46"/>
      <c r="G218" s="46"/>
      <c r="H218" s="40">
        <f t="shared" si="19"/>
        <v>0</v>
      </c>
      <c r="I218" s="39">
        <f aca="true" t="shared" si="101" ref="I218:I228">+D218*4%+D218</f>
        <v>0</v>
      </c>
      <c r="J218" s="48">
        <v>20000000</v>
      </c>
      <c r="K218" s="46"/>
      <c r="L218" s="46"/>
      <c r="M218" s="39">
        <f t="shared" si="96"/>
        <v>20000000</v>
      </c>
      <c r="N218" s="39">
        <f aca="true" t="shared" si="102" ref="N218:N240">+I218*4%+I218</f>
        <v>0</v>
      </c>
      <c r="O218" s="39">
        <f aca="true" t="shared" si="103" ref="O218:O240">+J218*4%+J218</f>
        <v>20800000</v>
      </c>
      <c r="P218" s="39">
        <f aca="true" t="shared" si="104" ref="P218:P240">+K218*4%+K218</f>
        <v>0</v>
      </c>
      <c r="Q218" s="39">
        <f aca="true" t="shared" si="105" ref="Q218:Q240">+L218*4%+L218</f>
        <v>0</v>
      </c>
      <c r="R218" s="39">
        <f t="shared" si="62"/>
        <v>20800000</v>
      </c>
      <c r="S218" s="39">
        <f t="shared" si="87"/>
        <v>0</v>
      </c>
      <c r="T218" s="39">
        <f t="shared" si="88"/>
        <v>21632000</v>
      </c>
      <c r="U218" s="39">
        <f t="shared" si="89"/>
        <v>0</v>
      </c>
      <c r="V218" s="39">
        <f t="shared" si="90"/>
        <v>0</v>
      </c>
      <c r="W218" s="39">
        <f t="shared" si="76"/>
        <v>21632000</v>
      </c>
      <c r="X218" s="75"/>
      <c r="Y218" s="75">
        <v>192</v>
      </c>
      <c r="Z218" s="75">
        <v>192</v>
      </c>
      <c r="AA218" s="75">
        <v>192</v>
      </c>
      <c r="AB218" s="75">
        <v>192</v>
      </c>
      <c r="AC218" s="75">
        <v>192</v>
      </c>
      <c r="AD218" s="75">
        <v>192</v>
      </c>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91"/>
      <c r="BB218" s="75"/>
      <c r="BC218" s="75"/>
      <c r="BD218" s="75"/>
    </row>
    <row r="219" spans="1:56" s="41" customFormat="1" ht="27" customHeight="1">
      <c r="A219" s="408"/>
      <c r="B219" s="38" t="s">
        <v>213</v>
      </c>
      <c r="C219" s="38"/>
      <c r="D219" s="39"/>
      <c r="E219" s="39">
        <v>12000000</v>
      </c>
      <c r="F219" s="39"/>
      <c r="G219" s="39"/>
      <c r="H219" s="40">
        <f t="shared" si="19"/>
        <v>12000000</v>
      </c>
      <c r="I219" s="39">
        <f t="shared" si="101"/>
        <v>0</v>
      </c>
      <c r="J219" s="48">
        <v>12000000</v>
      </c>
      <c r="K219" s="39"/>
      <c r="L219" s="39"/>
      <c r="M219" s="39">
        <f t="shared" si="96"/>
        <v>12000000</v>
      </c>
      <c r="N219" s="39">
        <f t="shared" si="102"/>
        <v>0</v>
      </c>
      <c r="O219" s="39">
        <f t="shared" si="103"/>
        <v>12480000</v>
      </c>
      <c r="P219" s="39">
        <f t="shared" si="104"/>
        <v>0</v>
      </c>
      <c r="Q219" s="39">
        <f t="shared" si="105"/>
        <v>0</v>
      </c>
      <c r="R219" s="39">
        <f t="shared" si="62"/>
        <v>12480000</v>
      </c>
      <c r="S219" s="39">
        <f t="shared" si="87"/>
        <v>0</v>
      </c>
      <c r="T219" s="39">
        <f t="shared" si="88"/>
        <v>12979200</v>
      </c>
      <c r="U219" s="39">
        <f t="shared" si="89"/>
        <v>0</v>
      </c>
      <c r="V219" s="39">
        <f t="shared" si="90"/>
        <v>0</v>
      </c>
      <c r="W219" s="39">
        <f t="shared" si="76"/>
        <v>12979200</v>
      </c>
      <c r="X219" s="75"/>
      <c r="Y219" s="75">
        <v>0</v>
      </c>
      <c r="Z219" s="75">
        <v>18</v>
      </c>
      <c r="AA219" s="75">
        <v>0</v>
      </c>
      <c r="AB219" s="75">
        <v>6</v>
      </c>
      <c r="AC219" s="75">
        <v>6</v>
      </c>
      <c r="AD219" s="75">
        <v>6</v>
      </c>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row>
    <row r="220" spans="1:56" s="41" customFormat="1" ht="30" customHeight="1">
      <c r="A220" s="408"/>
      <c r="B220" s="38" t="s">
        <v>297</v>
      </c>
      <c r="C220" s="38"/>
      <c r="D220" s="39"/>
      <c r="E220" s="39">
        <f>24209051+200000-12000000</f>
        <v>12409051</v>
      </c>
      <c r="F220" s="39">
        <v>18496777</v>
      </c>
      <c r="G220" s="39"/>
      <c r="H220" s="40">
        <f t="shared" si="19"/>
        <v>30905828</v>
      </c>
      <c r="I220" s="39">
        <f t="shared" si="101"/>
        <v>0</v>
      </c>
      <c r="J220" s="48">
        <v>20000000</v>
      </c>
      <c r="K220" s="39"/>
      <c r="L220" s="39"/>
      <c r="M220" s="39">
        <f t="shared" si="96"/>
        <v>20000000</v>
      </c>
      <c r="N220" s="39">
        <f t="shared" si="102"/>
        <v>0</v>
      </c>
      <c r="O220" s="39">
        <f t="shared" si="103"/>
        <v>20800000</v>
      </c>
      <c r="P220" s="39">
        <f t="shared" si="104"/>
        <v>0</v>
      </c>
      <c r="Q220" s="39">
        <f t="shared" si="105"/>
        <v>0</v>
      </c>
      <c r="R220" s="39">
        <f t="shared" si="62"/>
        <v>20800000</v>
      </c>
      <c r="S220" s="39">
        <f t="shared" si="87"/>
        <v>0</v>
      </c>
      <c r="T220" s="39">
        <f t="shared" si="88"/>
        <v>21632000</v>
      </c>
      <c r="U220" s="39">
        <f t="shared" si="89"/>
        <v>0</v>
      </c>
      <c r="V220" s="39">
        <f t="shared" si="90"/>
        <v>0</v>
      </c>
      <c r="W220" s="39">
        <f t="shared" si="76"/>
        <v>21632000</v>
      </c>
      <c r="X220" s="75"/>
      <c r="Y220" s="75">
        <v>0</v>
      </c>
      <c r="Z220" s="75">
        <v>8</v>
      </c>
      <c r="AA220" s="75">
        <v>0</v>
      </c>
      <c r="AB220" s="75">
        <v>3</v>
      </c>
      <c r="AC220" s="75">
        <v>3</v>
      </c>
      <c r="AD220" s="75">
        <v>2</v>
      </c>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row>
    <row r="221" spans="1:56" s="41" customFormat="1" ht="29.25" customHeight="1">
      <c r="A221" s="408"/>
      <c r="B221" s="38" t="s">
        <v>214</v>
      </c>
      <c r="C221" s="38"/>
      <c r="D221" s="39"/>
      <c r="E221" s="39"/>
      <c r="F221" s="39">
        <v>5000000</v>
      </c>
      <c r="G221" s="39"/>
      <c r="H221" s="40">
        <f t="shared" si="19"/>
        <v>5000000</v>
      </c>
      <c r="I221" s="39">
        <f t="shared" si="101"/>
        <v>0</v>
      </c>
      <c r="J221" s="48"/>
      <c r="K221" s="39"/>
      <c r="L221" s="39"/>
      <c r="M221" s="39">
        <f t="shared" si="96"/>
        <v>0</v>
      </c>
      <c r="N221" s="39">
        <f t="shared" si="102"/>
        <v>0</v>
      </c>
      <c r="O221" s="39">
        <f t="shared" si="103"/>
        <v>0</v>
      </c>
      <c r="P221" s="39">
        <f t="shared" si="104"/>
        <v>0</v>
      </c>
      <c r="Q221" s="39">
        <f t="shared" si="105"/>
        <v>0</v>
      </c>
      <c r="R221" s="39">
        <f t="shared" si="62"/>
        <v>0</v>
      </c>
      <c r="S221" s="39">
        <f t="shared" si="87"/>
        <v>0</v>
      </c>
      <c r="T221" s="39">
        <f t="shared" si="88"/>
        <v>0</v>
      </c>
      <c r="U221" s="39">
        <f t="shared" si="89"/>
        <v>0</v>
      </c>
      <c r="V221" s="39">
        <f t="shared" si="90"/>
        <v>0</v>
      </c>
      <c r="W221" s="39">
        <f t="shared" si="76"/>
        <v>0</v>
      </c>
      <c r="X221" s="75"/>
      <c r="Y221" s="75">
        <v>0</v>
      </c>
      <c r="Z221" s="75">
        <v>2</v>
      </c>
      <c r="AA221" s="75">
        <v>0</v>
      </c>
      <c r="AB221" s="75">
        <v>2</v>
      </c>
      <c r="AC221" s="75">
        <v>0</v>
      </c>
      <c r="AD221" s="75">
        <v>0</v>
      </c>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row>
    <row r="222" spans="1:56" s="41" customFormat="1" ht="31.5" customHeight="1">
      <c r="A222" s="408"/>
      <c r="B222" s="38" t="s">
        <v>298</v>
      </c>
      <c r="C222" s="38"/>
      <c r="D222" s="39"/>
      <c r="E222" s="39">
        <v>19598288</v>
      </c>
      <c r="F222" s="39">
        <v>5000000</v>
      </c>
      <c r="G222" s="39"/>
      <c r="H222" s="40">
        <f t="shared" si="19"/>
        <v>24598288</v>
      </c>
      <c r="I222" s="39">
        <f t="shared" si="101"/>
        <v>0</v>
      </c>
      <c r="J222" s="48"/>
      <c r="K222" s="39"/>
      <c r="L222" s="39"/>
      <c r="M222" s="39">
        <f t="shared" si="96"/>
        <v>0</v>
      </c>
      <c r="N222" s="39">
        <f t="shared" si="102"/>
        <v>0</v>
      </c>
      <c r="O222" s="39">
        <f t="shared" si="103"/>
        <v>0</v>
      </c>
      <c r="P222" s="39">
        <f t="shared" si="104"/>
        <v>0</v>
      </c>
      <c r="Q222" s="39">
        <f t="shared" si="105"/>
        <v>0</v>
      </c>
      <c r="R222" s="39">
        <f t="shared" si="62"/>
        <v>0</v>
      </c>
      <c r="S222" s="39">
        <f t="shared" si="87"/>
        <v>0</v>
      </c>
      <c r="T222" s="39">
        <f t="shared" si="88"/>
        <v>0</v>
      </c>
      <c r="U222" s="39">
        <f t="shared" si="89"/>
        <v>0</v>
      </c>
      <c r="V222" s="39">
        <f t="shared" si="90"/>
        <v>0</v>
      </c>
      <c r="W222" s="39">
        <f t="shared" si="76"/>
        <v>0</v>
      </c>
      <c r="X222" s="75"/>
      <c r="Y222" s="75">
        <v>0</v>
      </c>
      <c r="Z222" s="75">
        <v>196</v>
      </c>
      <c r="AA222" s="75">
        <v>0</v>
      </c>
      <c r="AB222" s="75">
        <v>196</v>
      </c>
      <c r="AC222" s="75">
        <v>0</v>
      </c>
      <c r="AD222" s="75">
        <v>0</v>
      </c>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row>
    <row r="223" spans="1:56" s="41" customFormat="1" ht="27.75" customHeight="1">
      <c r="A223" s="408"/>
      <c r="B223" s="38" t="s">
        <v>299</v>
      </c>
      <c r="C223" s="38"/>
      <c r="D223" s="39"/>
      <c r="E223" s="39"/>
      <c r="F223" s="39"/>
      <c r="G223" s="39"/>
      <c r="H223" s="40">
        <f t="shared" si="19"/>
        <v>0</v>
      </c>
      <c r="I223" s="39">
        <f t="shared" si="101"/>
        <v>0</v>
      </c>
      <c r="J223" s="48">
        <v>15000000</v>
      </c>
      <c r="K223" s="39"/>
      <c r="L223" s="39"/>
      <c r="M223" s="39">
        <f t="shared" si="96"/>
        <v>15000000</v>
      </c>
      <c r="N223" s="39">
        <f t="shared" si="102"/>
        <v>0</v>
      </c>
      <c r="O223" s="39">
        <f t="shared" si="103"/>
        <v>15600000</v>
      </c>
      <c r="P223" s="39">
        <f t="shared" si="104"/>
        <v>0</v>
      </c>
      <c r="Q223" s="39">
        <f t="shared" si="105"/>
        <v>0</v>
      </c>
      <c r="R223" s="39">
        <f t="shared" si="62"/>
        <v>15600000</v>
      </c>
      <c r="S223" s="39">
        <f t="shared" si="87"/>
        <v>0</v>
      </c>
      <c r="T223" s="39">
        <f t="shared" si="88"/>
        <v>16224000</v>
      </c>
      <c r="U223" s="39">
        <f t="shared" si="89"/>
        <v>0</v>
      </c>
      <c r="V223" s="39">
        <f t="shared" si="90"/>
        <v>0</v>
      </c>
      <c r="W223" s="39">
        <f t="shared" si="76"/>
        <v>16224000</v>
      </c>
      <c r="X223" s="75"/>
      <c r="Y223" s="75">
        <v>0</v>
      </c>
      <c r="Z223" s="86">
        <v>1</v>
      </c>
      <c r="AA223" s="86">
        <v>0</v>
      </c>
      <c r="AB223" s="86">
        <v>1</v>
      </c>
      <c r="AC223" s="86">
        <v>0</v>
      </c>
      <c r="AD223" s="86">
        <v>0</v>
      </c>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row>
    <row r="224" spans="1:56" s="11" customFormat="1" ht="15">
      <c r="A224" s="407"/>
      <c r="B224" s="63" t="s">
        <v>342</v>
      </c>
      <c r="C224" s="63"/>
      <c r="D224" s="33">
        <f>SUM(D218:D223)</f>
        <v>0</v>
      </c>
      <c r="E224" s="33">
        <f aca="true" t="shared" si="106" ref="E224:W224">E218+E219+E220+E221+E222+E223</f>
        <v>44007339</v>
      </c>
      <c r="F224" s="33">
        <f t="shared" si="106"/>
        <v>28496777</v>
      </c>
      <c r="G224" s="33">
        <f t="shared" si="106"/>
        <v>0</v>
      </c>
      <c r="H224" s="33">
        <v>79537991</v>
      </c>
      <c r="I224" s="33">
        <f t="shared" si="106"/>
        <v>0</v>
      </c>
      <c r="J224" s="33">
        <f t="shared" si="106"/>
        <v>67000000</v>
      </c>
      <c r="K224" s="33">
        <f t="shared" si="106"/>
        <v>0</v>
      </c>
      <c r="L224" s="33">
        <f t="shared" si="106"/>
        <v>0</v>
      </c>
      <c r="M224" s="33">
        <f t="shared" si="106"/>
        <v>67000000</v>
      </c>
      <c r="N224" s="33">
        <f t="shared" si="106"/>
        <v>0</v>
      </c>
      <c r="O224" s="33">
        <f t="shared" si="106"/>
        <v>69680000</v>
      </c>
      <c r="P224" s="33">
        <f t="shared" si="106"/>
        <v>0</v>
      </c>
      <c r="Q224" s="33">
        <f t="shared" si="106"/>
        <v>0</v>
      </c>
      <c r="R224" s="33">
        <f t="shared" si="106"/>
        <v>69680000</v>
      </c>
      <c r="S224" s="33">
        <f t="shared" si="106"/>
        <v>0</v>
      </c>
      <c r="T224" s="33">
        <f t="shared" si="106"/>
        <v>72467200</v>
      </c>
      <c r="U224" s="33">
        <f t="shared" si="106"/>
        <v>0</v>
      </c>
      <c r="V224" s="33">
        <f t="shared" si="106"/>
        <v>0</v>
      </c>
      <c r="W224" s="33">
        <f t="shared" si="106"/>
        <v>72467200</v>
      </c>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76"/>
    </row>
    <row r="225" spans="1:56" s="11" customFormat="1" ht="39.75" customHeight="1">
      <c r="A225" s="406" t="s">
        <v>344</v>
      </c>
      <c r="B225" s="38" t="s">
        <v>215</v>
      </c>
      <c r="C225" s="38"/>
      <c r="D225" s="39"/>
      <c r="E225" s="39">
        <v>3171312</v>
      </c>
      <c r="F225" s="39"/>
      <c r="G225" s="39"/>
      <c r="H225" s="40">
        <f t="shared" si="19"/>
        <v>3171312</v>
      </c>
      <c r="I225" s="39">
        <f t="shared" si="101"/>
        <v>0</v>
      </c>
      <c r="J225" s="48">
        <v>20000000</v>
      </c>
      <c r="K225" s="39"/>
      <c r="L225" s="39"/>
      <c r="M225" s="39">
        <f t="shared" si="96"/>
        <v>20000000</v>
      </c>
      <c r="N225" s="39">
        <f t="shared" si="102"/>
        <v>0</v>
      </c>
      <c r="O225" s="39">
        <f t="shared" si="103"/>
        <v>20800000</v>
      </c>
      <c r="P225" s="39">
        <f t="shared" si="104"/>
        <v>0</v>
      </c>
      <c r="Q225" s="39">
        <f t="shared" si="105"/>
        <v>0</v>
      </c>
      <c r="R225" s="39">
        <f t="shared" si="62"/>
        <v>20800000</v>
      </c>
      <c r="S225" s="39">
        <f t="shared" si="87"/>
        <v>0</v>
      </c>
      <c r="T225" s="39">
        <f t="shared" si="88"/>
        <v>21632000</v>
      </c>
      <c r="U225" s="39">
        <f t="shared" si="89"/>
        <v>0</v>
      </c>
      <c r="V225" s="39">
        <f t="shared" si="90"/>
        <v>0</v>
      </c>
      <c r="W225" s="39">
        <f t="shared" si="76"/>
        <v>21632000</v>
      </c>
      <c r="X225" s="76"/>
      <c r="Y225" s="75">
        <v>0</v>
      </c>
      <c r="Z225" s="86">
        <v>1</v>
      </c>
      <c r="AA225" s="86">
        <v>0.25</v>
      </c>
      <c r="AB225" s="86">
        <v>0.25</v>
      </c>
      <c r="AC225" s="86">
        <v>0.25</v>
      </c>
      <c r="AD225" s="86">
        <v>0.25</v>
      </c>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91"/>
      <c r="BB225" s="76"/>
      <c r="BC225" s="76"/>
      <c r="BD225" s="76"/>
    </row>
    <row r="226" spans="1:56" s="11" customFormat="1" ht="39.75" customHeight="1">
      <c r="A226" s="408"/>
      <c r="B226" s="38" t="s">
        <v>216</v>
      </c>
      <c r="C226" s="38"/>
      <c r="D226" s="39"/>
      <c r="E226" s="39"/>
      <c r="F226" s="39"/>
      <c r="G226" s="39"/>
      <c r="H226" s="40">
        <f t="shared" si="19"/>
        <v>0</v>
      </c>
      <c r="I226" s="39">
        <f t="shared" si="101"/>
        <v>0</v>
      </c>
      <c r="J226" s="48">
        <v>14000000</v>
      </c>
      <c r="K226" s="39"/>
      <c r="L226" s="39"/>
      <c r="M226" s="39">
        <f t="shared" si="96"/>
        <v>14000000</v>
      </c>
      <c r="N226" s="39">
        <f t="shared" si="102"/>
        <v>0</v>
      </c>
      <c r="O226" s="39">
        <f t="shared" si="103"/>
        <v>14560000</v>
      </c>
      <c r="P226" s="39">
        <f t="shared" si="104"/>
        <v>0</v>
      </c>
      <c r="Q226" s="39">
        <f t="shared" si="105"/>
        <v>0</v>
      </c>
      <c r="R226" s="39">
        <f t="shared" si="62"/>
        <v>14560000</v>
      </c>
      <c r="S226" s="39">
        <f t="shared" si="87"/>
        <v>0</v>
      </c>
      <c r="T226" s="39">
        <f t="shared" si="88"/>
        <v>15142400</v>
      </c>
      <c r="U226" s="39">
        <f t="shared" si="89"/>
        <v>0</v>
      </c>
      <c r="V226" s="39">
        <f t="shared" si="90"/>
        <v>0</v>
      </c>
      <c r="W226" s="39">
        <f t="shared" si="76"/>
        <v>15142400</v>
      </c>
      <c r="X226" s="76"/>
      <c r="Y226" s="76">
        <v>0</v>
      </c>
      <c r="Z226" s="76">
        <v>24</v>
      </c>
      <c r="AA226" s="76">
        <v>24</v>
      </c>
      <c r="AB226" s="76">
        <v>24</v>
      </c>
      <c r="AC226" s="76">
        <v>24</v>
      </c>
      <c r="AD226" s="76">
        <v>24</v>
      </c>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91"/>
      <c r="BB226" s="76"/>
      <c r="BC226" s="76"/>
      <c r="BD226" s="76"/>
    </row>
    <row r="227" spans="1:56" s="11" customFormat="1" ht="27.75" customHeight="1">
      <c r="A227" s="408"/>
      <c r="B227" s="38" t="s">
        <v>77</v>
      </c>
      <c r="C227" s="38"/>
      <c r="D227" s="39"/>
      <c r="E227" s="39"/>
      <c r="F227" s="39"/>
      <c r="G227" s="39"/>
      <c r="H227" s="40">
        <f t="shared" si="19"/>
        <v>0</v>
      </c>
      <c r="I227" s="39">
        <f t="shared" si="101"/>
        <v>0</v>
      </c>
      <c r="J227" s="48">
        <v>15000000</v>
      </c>
      <c r="K227" s="39"/>
      <c r="L227" s="39"/>
      <c r="M227" s="39">
        <f t="shared" si="96"/>
        <v>15000000</v>
      </c>
      <c r="N227" s="39">
        <f t="shared" si="102"/>
        <v>0</v>
      </c>
      <c r="O227" s="39">
        <f t="shared" si="103"/>
        <v>15600000</v>
      </c>
      <c r="P227" s="39">
        <f t="shared" si="104"/>
        <v>0</v>
      </c>
      <c r="Q227" s="39">
        <f t="shared" si="105"/>
        <v>0</v>
      </c>
      <c r="R227" s="39">
        <f t="shared" si="62"/>
        <v>15600000</v>
      </c>
      <c r="S227" s="39">
        <f t="shared" si="87"/>
        <v>0</v>
      </c>
      <c r="T227" s="39">
        <f t="shared" si="88"/>
        <v>16224000</v>
      </c>
      <c r="U227" s="39">
        <f t="shared" si="89"/>
        <v>0</v>
      </c>
      <c r="V227" s="39">
        <f t="shared" si="90"/>
        <v>0</v>
      </c>
      <c r="W227" s="39">
        <f t="shared" si="76"/>
        <v>16224000</v>
      </c>
      <c r="X227" s="76"/>
      <c r="Y227" s="76">
        <v>0</v>
      </c>
      <c r="Z227" s="76">
        <v>500</v>
      </c>
      <c r="AA227" s="76">
        <v>0</v>
      </c>
      <c r="AB227" s="76">
        <v>150</v>
      </c>
      <c r="AC227" s="76">
        <v>200</v>
      </c>
      <c r="AD227" s="76">
        <v>150</v>
      </c>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c r="BC227" s="76"/>
      <c r="BD227" s="76"/>
    </row>
    <row r="228" spans="1:56" s="11" customFormat="1" ht="40.5" customHeight="1">
      <c r="A228" s="408"/>
      <c r="B228" s="38" t="s">
        <v>78</v>
      </c>
      <c r="C228" s="38"/>
      <c r="D228" s="39"/>
      <c r="E228" s="39"/>
      <c r="F228" s="39"/>
      <c r="G228" s="39"/>
      <c r="H228" s="40">
        <f t="shared" si="19"/>
        <v>0</v>
      </c>
      <c r="I228" s="39">
        <f t="shared" si="101"/>
        <v>0</v>
      </c>
      <c r="J228" s="48">
        <v>6951020</v>
      </c>
      <c r="K228" s="39"/>
      <c r="L228" s="39"/>
      <c r="M228" s="39">
        <f t="shared" si="96"/>
        <v>6951020</v>
      </c>
      <c r="N228" s="39">
        <f t="shared" si="102"/>
        <v>0</v>
      </c>
      <c r="O228" s="39">
        <f t="shared" si="103"/>
        <v>7229060.8</v>
      </c>
      <c r="P228" s="39">
        <f t="shared" si="104"/>
        <v>0</v>
      </c>
      <c r="Q228" s="39">
        <f t="shared" si="105"/>
        <v>0</v>
      </c>
      <c r="R228" s="39">
        <f t="shared" si="62"/>
        <v>7229060.8</v>
      </c>
      <c r="S228" s="39">
        <f t="shared" si="87"/>
        <v>0</v>
      </c>
      <c r="T228" s="39">
        <f t="shared" si="88"/>
        <v>7518223.232</v>
      </c>
      <c r="U228" s="39">
        <f t="shared" si="89"/>
        <v>0</v>
      </c>
      <c r="V228" s="39">
        <f t="shared" si="90"/>
        <v>0</v>
      </c>
      <c r="W228" s="39">
        <f t="shared" si="76"/>
        <v>7518223.232</v>
      </c>
      <c r="X228" s="76"/>
      <c r="Y228" s="76">
        <v>0</v>
      </c>
      <c r="Z228" s="76">
        <v>1000</v>
      </c>
      <c r="AA228" s="76">
        <v>0</v>
      </c>
      <c r="AB228" s="76">
        <v>500</v>
      </c>
      <c r="AC228" s="76">
        <v>300</v>
      </c>
      <c r="AD228" s="76">
        <v>200</v>
      </c>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BD228" s="76"/>
    </row>
    <row r="229" spans="1:56" s="11" customFormat="1" ht="15">
      <c r="A229" s="407"/>
      <c r="B229" s="63" t="s">
        <v>342</v>
      </c>
      <c r="C229" s="63"/>
      <c r="D229" s="33">
        <f>D225+D226+D227+D228</f>
        <v>0</v>
      </c>
      <c r="E229" s="33">
        <f aca="true" t="shared" si="107" ref="E229:W229">E225+E226+E227+E228</f>
        <v>3171312</v>
      </c>
      <c r="F229" s="33">
        <f t="shared" si="107"/>
        <v>0</v>
      </c>
      <c r="G229" s="33">
        <f t="shared" si="107"/>
        <v>0</v>
      </c>
      <c r="H229" s="33">
        <f t="shared" si="107"/>
        <v>3171312</v>
      </c>
      <c r="I229" s="33">
        <f t="shared" si="107"/>
        <v>0</v>
      </c>
      <c r="J229" s="33">
        <f t="shared" si="107"/>
        <v>55951020</v>
      </c>
      <c r="K229" s="33">
        <f t="shared" si="107"/>
        <v>0</v>
      </c>
      <c r="L229" s="33">
        <f t="shared" si="107"/>
        <v>0</v>
      </c>
      <c r="M229" s="33">
        <f t="shared" si="107"/>
        <v>55951020</v>
      </c>
      <c r="N229" s="33">
        <f t="shared" si="107"/>
        <v>0</v>
      </c>
      <c r="O229" s="33">
        <f t="shared" si="107"/>
        <v>58189060.8</v>
      </c>
      <c r="P229" s="33">
        <f t="shared" si="107"/>
        <v>0</v>
      </c>
      <c r="Q229" s="33">
        <f t="shared" si="107"/>
        <v>0</v>
      </c>
      <c r="R229" s="33">
        <f t="shared" si="107"/>
        <v>58189060.8</v>
      </c>
      <c r="S229" s="33">
        <f t="shared" si="107"/>
        <v>0</v>
      </c>
      <c r="T229" s="33">
        <f t="shared" si="107"/>
        <v>60516623.232</v>
      </c>
      <c r="U229" s="33">
        <f t="shared" si="107"/>
        <v>0</v>
      </c>
      <c r="V229" s="33">
        <f t="shared" si="107"/>
        <v>0</v>
      </c>
      <c r="W229" s="33">
        <f t="shared" si="107"/>
        <v>60516623.232</v>
      </c>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row>
    <row r="230" spans="1:56" s="11" customFormat="1" ht="38.25" customHeight="1">
      <c r="A230" s="406" t="s">
        <v>217</v>
      </c>
      <c r="B230" s="38" t="s">
        <v>218</v>
      </c>
      <c r="C230" s="38"/>
      <c r="D230" s="39">
        <v>2900000</v>
      </c>
      <c r="E230" s="39">
        <f>10300000+2000000+400000</f>
        <v>12700000</v>
      </c>
      <c r="F230" s="39"/>
      <c r="G230" s="39">
        <v>500000</v>
      </c>
      <c r="H230" s="40">
        <f t="shared" si="19"/>
        <v>16100000</v>
      </c>
      <c r="I230" s="39">
        <f>+D230*4%+D230</f>
        <v>3016000</v>
      </c>
      <c r="J230" s="39">
        <f>+E230*4%+E230</f>
        <v>13208000</v>
      </c>
      <c r="K230" s="39">
        <f>+F230*4%+F230</f>
        <v>0</v>
      </c>
      <c r="L230" s="39">
        <f>+G230*4%+G230</f>
        <v>520000</v>
      </c>
      <c r="M230" s="39">
        <f t="shared" si="96"/>
        <v>16744000</v>
      </c>
      <c r="N230" s="39">
        <f t="shared" si="102"/>
        <v>3136640</v>
      </c>
      <c r="O230" s="39">
        <f t="shared" si="103"/>
        <v>13736320</v>
      </c>
      <c r="P230" s="39">
        <f t="shared" si="104"/>
        <v>0</v>
      </c>
      <c r="Q230" s="39">
        <f t="shared" si="105"/>
        <v>540800</v>
      </c>
      <c r="R230" s="39">
        <f t="shared" si="62"/>
        <v>17413760</v>
      </c>
      <c r="S230" s="39">
        <f t="shared" si="87"/>
        <v>3262105.6</v>
      </c>
      <c r="T230" s="39">
        <f t="shared" si="88"/>
        <v>14285772.8</v>
      </c>
      <c r="U230" s="39">
        <f t="shared" si="89"/>
        <v>0</v>
      </c>
      <c r="V230" s="39">
        <f t="shared" si="90"/>
        <v>562432</v>
      </c>
      <c r="W230" s="39">
        <f t="shared" si="76"/>
        <v>18110310.400000002</v>
      </c>
      <c r="X230" s="76"/>
      <c r="Y230" s="75">
        <v>0</v>
      </c>
      <c r="Z230" s="86">
        <v>1</v>
      </c>
      <c r="AA230" s="86">
        <v>0.25</v>
      </c>
      <c r="AB230" s="86">
        <v>0.25</v>
      </c>
      <c r="AC230" s="86">
        <v>0.25</v>
      </c>
      <c r="AD230" s="86">
        <v>0.25</v>
      </c>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91"/>
      <c r="BB230" s="76"/>
      <c r="BC230" s="76"/>
      <c r="BD230" s="76"/>
    </row>
    <row r="231" spans="1:56" s="11" customFormat="1" ht="35.25" customHeight="1">
      <c r="A231" s="408"/>
      <c r="B231" s="38" t="s">
        <v>219</v>
      </c>
      <c r="C231" s="38"/>
      <c r="D231" s="39"/>
      <c r="E231" s="39"/>
      <c r="F231" s="39"/>
      <c r="G231" s="39"/>
      <c r="H231" s="40">
        <f t="shared" si="19"/>
        <v>0</v>
      </c>
      <c r="I231" s="39"/>
      <c r="J231" s="48">
        <v>2000000</v>
      </c>
      <c r="K231" s="39"/>
      <c r="L231" s="39"/>
      <c r="M231" s="39">
        <f t="shared" si="96"/>
        <v>2000000</v>
      </c>
      <c r="N231" s="39">
        <f t="shared" si="102"/>
        <v>0</v>
      </c>
      <c r="O231" s="39">
        <f t="shared" si="103"/>
        <v>2080000</v>
      </c>
      <c r="P231" s="39">
        <f t="shared" si="104"/>
        <v>0</v>
      </c>
      <c r="Q231" s="39">
        <f t="shared" si="105"/>
        <v>0</v>
      </c>
      <c r="R231" s="39">
        <f t="shared" si="62"/>
        <v>2080000</v>
      </c>
      <c r="S231" s="39">
        <f t="shared" si="87"/>
        <v>0</v>
      </c>
      <c r="T231" s="39">
        <f t="shared" si="88"/>
        <v>2163200</v>
      </c>
      <c r="U231" s="39">
        <f t="shared" si="89"/>
        <v>0</v>
      </c>
      <c r="V231" s="39">
        <f t="shared" si="90"/>
        <v>0</v>
      </c>
      <c r="W231" s="39">
        <f t="shared" si="76"/>
        <v>2163200</v>
      </c>
      <c r="X231" s="76"/>
      <c r="Y231" s="76">
        <v>0</v>
      </c>
      <c r="Z231" s="76">
        <v>2</v>
      </c>
      <c r="AA231" s="76">
        <v>0</v>
      </c>
      <c r="AB231" s="76">
        <v>1</v>
      </c>
      <c r="AC231" s="76">
        <v>1</v>
      </c>
      <c r="AD231" s="76">
        <v>0</v>
      </c>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row>
    <row r="232" spans="1:56" s="11" customFormat="1" ht="35.25" customHeight="1">
      <c r="A232" s="408"/>
      <c r="B232" s="38" t="s">
        <v>220</v>
      </c>
      <c r="C232" s="38"/>
      <c r="D232" s="39"/>
      <c r="E232" s="39"/>
      <c r="F232" s="39"/>
      <c r="G232" s="39"/>
      <c r="H232" s="40">
        <f t="shared" si="19"/>
        <v>0</v>
      </c>
      <c r="I232" s="39"/>
      <c r="J232" s="48">
        <v>1000000</v>
      </c>
      <c r="K232" s="39"/>
      <c r="L232" s="39"/>
      <c r="M232" s="39">
        <f t="shared" si="96"/>
        <v>1000000</v>
      </c>
      <c r="N232" s="39">
        <f t="shared" si="102"/>
        <v>0</v>
      </c>
      <c r="O232" s="39">
        <f t="shared" si="103"/>
        <v>1040000</v>
      </c>
      <c r="P232" s="39">
        <f t="shared" si="104"/>
        <v>0</v>
      </c>
      <c r="Q232" s="39">
        <f t="shared" si="105"/>
        <v>0</v>
      </c>
      <c r="R232" s="39">
        <f t="shared" si="62"/>
        <v>1040000</v>
      </c>
      <c r="S232" s="39">
        <f t="shared" si="87"/>
        <v>0</v>
      </c>
      <c r="T232" s="39">
        <f t="shared" si="88"/>
        <v>1081600</v>
      </c>
      <c r="U232" s="39">
        <f t="shared" si="89"/>
        <v>0</v>
      </c>
      <c r="V232" s="39">
        <f t="shared" si="90"/>
        <v>0</v>
      </c>
      <c r="W232" s="39">
        <f t="shared" si="76"/>
        <v>1081600</v>
      </c>
      <c r="X232" s="76"/>
      <c r="Y232" s="76">
        <v>0</v>
      </c>
      <c r="Z232" s="76">
        <v>2</v>
      </c>
      <c r="AA232" s="76">
        <v>0</v>
      </c>
      <c r="AB232" s="76">
        <v>1</v>
      </c>
      <c r="AC232" s="76">
        <v>1</v>
      </c>
      <c r="AD232" s="76">
        <v>0</v>
      </c>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76"/>
    </row>
    <row r="233" spans="1:56" s="11" customFormat="1" ht="48" customHeight="1">
      <c r="A233" s="408"/>
      <c r="B233" s="38" t="s">
        <v>300</v>
      </c>
      <c r="C233" s="38"/>
      <c r="D233" s="39"/>
      <c r="E233" s="39">
        <f>3713656+1664664+5000000</f>
        <v>10378320</v>
      </c>
      <c r="F233" s="39"/>
      <c r="G233" s="39"/>
      <c r="H233" s="40">
        <f t="shared" si="19"/>
        <v>10378320</v>
      </c>
      <c r="I233" s="39"/>
      <c r="J233" s="48"/>
      <c r="K233" s="39"/>
      <c r="L233" s="39"/>
      <c r="M233" s="39">
        <f t="shared" si="96"/>
        <v>0</v>
      </c>
      <c r="N233" s="39">
        <f t="shared" si="102"/>
        <v>0</v>
      </c>
      <c r="O233" s="39">
        <f t="shared" si="103"/>
        <v>0</v>
      </c>
      <c r="P233" s="39">
        <f t="shared" si="104"/>
        <v>0</v>
      </c>
      <c r="Q233" s="39">
        <f t="shared" si="105"/>
        <v>0</v>
      </c>
      <c r="R233" s="39">
        <f aca="true" t="shared" si="108" ref="R233:R293">SUM(N233:Q233)</f>
        <v>0</v>
      </c>
      <c r="S233" s="39">
        <f t="shared" si="87"/>
        <v>0</v>
      </c>
      <c r="T233" s="39">
        <f t="shared" si="88"/>
        <v>0</v>
      </c>
      <c r="U233" s="39">
        <f t="shared" si="89"/>
        <v>0</v>
      </c>
      <c r="V233" s="39">
        <f t="shared" si="90"/>
        <v>0</v>
      </c>
      <c r="W233" s="39">
        <f t="shared" si="76"/>
        <v>0</v>
      </c>
      <c r="X233" s="76"/>
      <c r="Y233" s="76">
        <v>196</v>
      </c>
      <c r="Z233" s="76">
        <v>196</v>
      </c>
      <c r="AA233" s="76">
        <v>196</v>
      </c>
      <c r="AB233" s="76">
        <v>196</v>
      </c>
      <c r="AC233" s="76">
        <v>196</v>
      </c>
      <c r="AD233" s="76">
        <v>196</v>
      </c>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91"/>
      <c r="BB233" s="76"/>
      <c r="BC233" s="76"/>
      <c r="BD233" s="76"/>
    </row>
    <row r="234" spans="1:56" s="11" customFormat="1" ht="15">
      <c r="A234" s="407"/>
      <c r="B234" s="63" t="s">
        <v>342</v>
      </c>
      <c r="C234" s="63"/>
      <c r="D234" s="33">
        <f>D230+D231+D232+D233</f>
        <v>2900000</v>
      </c>
      <c r="E234" s="33">
        <f aca="true" t="shared" si="109" ref="E234:W234">E230+E231+E232+E233</f>
        <v>23078320</v>
      </c>
      <c r="F234" s="33">
        <f t="shared" si="109"/>
        <v>0</v>
      </c>
      <c r="G234" s="33">
        <f t="shared" si="109"/>
        <v>500000</v>
      </c>
      <c r="H234" s="33">
        <f t="shared" si="109"/>
        <v>26478320</v>
      </c>
      <c r="I234" s="33">
        <f t="shared" si="109"/>
        <v>3016000</v>
      </c>
      <c r="J234" s="33">
        <f t="shared" si="109"/>
        <v>16208000</v>
      </c>
      <c r="K234" s="33">
        <f t="shared" si="109"/>
        <v>0</v>
      </c>
      <c r="L234" s="33">
        <f t="shared" si="109"/>
        <v>520000</v>
      </c>
      <c r="M234" s="33">
        <f t="shared" si="109"/>
        <v>19744000</v>
      </c>
      <c r="N234" s="33">
        <f t="shared" si="109"/>
        <v>3136640</v>
      </c>
      <c r="O234" s="33">
        <f t="shared" si="109"/>
        <v>16856320</v>
      </c>
      <c r="P234" s="33">
        <f t="shared" si="109"/>
        <v>0</v>
      </c>
      <c r="Q234" s="33">
        <f t="shared" si="109"/>
        <v>540800</v>
      </c>
      <c r="R234" s="33">
        <f t="shared" si="109"/>
        <v>20533760</v>
      </c>
      <c r="S234" s="33">
        <f t="shared" si="109"/>
        <v>3262105.6</v>
      </c>
      <c r="T234" s="33">
        <f t="shared" si="109"/>
        <v>17530572.8</v>
      </c>
      <c r="U234" s="33">
        <f t="shared" si="109"/>
        <v>0</v>
      </c>
      <c r="V234" s="33">
        <f t="shared" si="109"/>
        <v>562432</v>
      </c>
      <c r="W234" s="33">
        <f t="shared" si="109"/>
        <v>21355110.400000002</v>
      </c>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BD234" s="76"/>
    </row>
    <row r="235" spans="1:56" s="41" customFormat="1" ht="27" customHeight="1">
      <c r="A235" s="406" t="s">
        <v>221</v>
      </c>
      <c r="B235" s="38" t="s">
        <v>222</v>
      </c>
      <c r="C235" s="38"/>
      <c r="D235" s="39"/>
      <c r="E235" s="39">
        <v>2400000</v>
      </c>
      <c r="F235" s="39"/>
      <c r="G235" s="39"/>
      <c r="H235" s="40">
        <f t="shared" si="19"/>
        <v>2400000</v>
      </c>
      <c r="I235" s="39"/>
      <c r="J235" s="48"/>
      <c r="K235" s="39"/>
      <c r="L235" s="39"/>
      <c r="M235" s="39">
        <f t="shared" si="96"/>
        <v>0</v>
      </c>
      <c r="N235" s="39">
        <f t="shared" si="102"/>
        <v>0</v>
      </c>
      <c r="O235" s="39">
        <f t="shared" si="103"/>
        <v>0</v>
      </c>
      <c r="P235" s="39">
        <f t="shared" si="104"/>
        <v>0</v>
      </c>
      <c r="Q235" s="39">
        <f t="shared" si="105"/>
        <v>0</v>
      </c>
      <c r="R235" s="39">
        <f t="shared" si="108"/>
        <v>0</v>
      </c>
      <c r="S235" s="39">
        <f t="shared" si="87"/>
        <v>0</v>
      </c>
      <c r="T235" s="39">
        <f t="shared" si="88"/>
        <v>0</v>
      </c>
      <c r="U235" s="39">
        <f t="shared" si="89"/>
        <v>0</v>
      </c>
      <c r="V235" s="39">
        <f t="shared" si="90"/>
        <v>0</v>
      </c>
      <c r="W235" s="39">
        <f t="shared" si="76"/>
        <v>0</v>
      </c>
      <c r="X235" s="75"/>
      <c r="Y235" s="75">
        <v>136</v>
      </c>
      <c r="Z235" s="75">
        <v>196</v>
      </c>
      <c r="AA235" s="75">
        <v>15</v>
      </c>
      <c r="AB235" s="75">
        <v>15</v>
      </c>
      <c r="AC235" s="75">
        <v>15</v>
      </c>
      <c r="AD235" s="75">
        <v>15</v>
      </c>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91"/>
      <c r="BB235" s="75"/>
      <c r="BC235" s="75"/>
      <c r="BD235" s="75"/>
    </row>
    <row r="236" spans="1:56" s="41" customFormat="1" ht="37.5" customHeight="1">
      <c r="A236" s="408"/>
      <c r="B236" s="38" t="s">
        <v>223</v>
      </c>
      <c r="C236" s="38"/>
      <c r="D236" s="39"/>
      <c r="E236" s="39"/>
      <c r="F236" s="39"/>
      <c r="G236" s="39"/>
      <c r="H236" s="40">
        <f t="shared" si="19"/>
        <v>0</v>
      </c>
      <c r="I236" s="39"/>
      <c r="J236" s="48">
        <v>8000000</v>
      </c>
      <c r="K236" s="39"/>
      <c r="L236" s="39"/>
      <c r="M236" s="39">
        <f t="shared" si="96"/>
        <v>8000000</v>
      </c>
      <c r="N236" s="39">
        <f t="shared" si="102"/>
        <v>0</v>
      </c>
      <c r="O236" s="39">
        <f t="shared" si="103"/>
        <v>8320000</v>
      </c>
      <c r="P236" s="39">
        <f t="shared" si="104"/>
        <v>0</v>
      </c>
      <c r="Q236" s="39">
        <f t="shared" si="105"/>
        <v>0</v>
      </c>
      <c r="R236" s="39">
        <f t="shared" si="108"/>
        <v>8320000</v>
      </c>
      <c r="S236" s="39">
        <f t="shared" si="87"/>
        <v>0</v>
      </c>
      <c r="T236" s="39">
        <f t="shared" si="88"/>
        <v>8652800</v>
      </c>
      <c r="U236" s="39">
        <f t="shared" si="89"/>
        <v>0</v>
      </c>
      <c r="V236" s="39">
        <f t="shared" si="90"/>
        <v>0</v>
      </c>
      <c r="W236" s="39">
        <f t="shared" si="76"/>
        <v>8652800</v>
      </c>
      <c r="X236" s="75"/>
      <c r="Y236" s="75">
        <v>0</v>
      </c>
      <c r="Z236" s="75">
        <v>1</v>
      </c>
      <c r="AA236" s="75">
        <v>0</v>
      </c>
      <c r="AB236" s="75">
        <v>1</v>
      </c>
      <c r="AC236" s="75">
        <v>0</v>
      </c>
      <c r="AD236" s="75">
        <v>0</v>
      </c>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row>
    <row r="237" spans="1:56" s="49" customFormat="1" ht="38.25" customHeight="1">
      <c r="A237" s="408"/>
      <c r="B237" s="38" t="s">
        <v>303</v>
      </c>
      <c r="C237" s="38"/>
      <c r="D237" s="39"/>
      <c r="E237" s="39">
        <v>51847437</v>
      </c>
      <c r="F237" s="39"/>
      <c r="G237" s="39"/>
      <c r="H237" s="40">
        <f t="shared" si="19"/>
        <v>51847437</v>
      </c>
      <c r="I237" s="39"/>
      <c r="J237" s="48"/>
      <c r="K237" s="39"/>
      <c r="L237" s="39"/>
      <c r="M237" s="39">
        <f t="shared" si="96"/>
        <v>0</v>
      </c>
      <c r="N237" s="39">
        <f t="shared" si="102"/>
        <v>0</v>
      </c>
      <c r="O237" s="39">
        <f t="shared" si="103"/>
        <v>0</v>
      </c>
      <c r="P237" s="39">
        <f t="shared" si="104"/>
        <v>0</v>
      </c>
      <c r="Q237" s="39">
        <f t="shared" si="105"/>
        <v>0</v>
      </c>
      <c r="R237" s="39">
        <f t="shared" si="108"/>
        <v>0</v>
      </c>
      <c r="S237" s="39">
        <f t="shared" si="87"/>
        <v>0</v>
      </c>
      <c r="T237" s="39">
        <f t="shared" si="88"/>
        <v>0</v>
      </c>
      <c r="U237" s="39">
        <f t="shared" si="89"/>
        <v>0</v>
      </c>
      <c r="V237" s="39">
        <f t="shared" si="90"/>
        <v>0</v>
      </c>
      <c r="W237" s="39">
        <f t="shared" si="76"/>
        <v>0</v>
      </c>
      <c r="X237" s="75"/>
      <c r="Y237" s="75">
        <v>251</v>
      </c>
      <c r="Z237" s="75">
        <v>251</v>
      </c>
      <c r="AA237" s="75">
        <v>251</v>
      </c>
      <c r="AB237" s="75">
        <v>251</v>
      </c>
      <c r="AC237" s="75">
        <v>251</v>
      </c>
      <c r="AD237" s="75">
        <v>251</v>
      </c>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91"/>
      <c r="BB237" s="75"/>
      <c r="BC237" s="75"/>
      <c r="BD237" s="75"/>
    </row>
    <row r="238" spans="1:56" s="49" customFormat="1" ht="42.75" customHeight="1">
      <c r="A238" s="408"/>
      <c r="B238" s="38" t="s">
        <v>301</v>
      </c>
      <c r="C238" s="38"/>
      <c r="D238" s="39">
        <v>9139979</v>
      </c>
      <c r="E238" s="39">
        <v>2028488</v>
      </c>
      <c r="F238" s="39"/>
      <c r="G238" s="39"/>
      <c r="H238" s="40">
        <f t="shared" si="19"/>
        <v>11168467</v>
      </c>
      <c r="I238" s="39">
        <f>+D238*4%+D238</f>
        <v>9505578.16</v>
      </c>
      <c r="J238" s="48"/>
      <c r="K238" s="39"/>
      <c r="L238" s="39"/>
      <c r="M238" s="39">
        <f t="shared" si="96"/>
        <v>9505578.16</v>
      </c>
      <c r="N238" s="39">
        <f t="shared" si="102"/>
        <v>9885801.2864</v>
      </c>
      <c r="O238" s="39">
        <f t="shared" si="103"/>
        <v>0</v>
      </c>
      <c r="P238" s="39">
        <f t="shared" si="104"/>
        <v>0</v>
      </c>
      <c r="Q238" s="39">
        <f t="shared" si="105"/>
        <v>0</v>
      </c>
      <c r="R238" s="39">
        <f t="shared" si="108"/>
        <v>9885801.2864</v>
      </c>
      <c r="S238" s="39">
        <f t="shared" si="87"/>
        <v>10281233.337856</v>
      </c>
      <c r="T238" s="39">
        <f t="shared" si="88"/>
        <v>0</v>
      </c>
      <c r="U238" s="39">
        <f t="shared" si="89"/>
        <v>0</v>
      </c>
      <c r="V238" s="39">
        <f t="shared" si="90"/>
        <v>0</v>
      </c>
      <c r="W238" s="39">
        <f t="shared" si="76"/>
        <v>10281233.337856</v>
      </c>
      <c r="X238" s="75"/>
      <c r="Y238" s="75">
        <v>0</v>
      </c>
      <c r="Z238" s="86">
        <v>1</v>
      </c>
      <c r="AA238" s="86">
        <v>0.25</v>
      </c>
      <c r="AB238" s="86">
        <v>0.25</v>
      </c>
      <c r="AC238" s="86">
        <v>0.25</v>
      </c>
      <c r="AD238" s="86">
        <v>0.25</v>
      </c>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91"/>
      <c r="BB238" s="75"/>
      <c r="BC238" s="75"/>
      <c r="BD238" s="75"/>
    </row>
    <row r="239" spans="1:56" s="49" customFormat="1" ht="39" customHeight="1">
      <c r="A239" s="408"/>
      <c r="B239" s="38" t="s">
        <v>224</v>
      </c>
      <c r="C239" s="38"/>
      <c r="D239" s="39"/>
      <c r="E239" s="39"/>
      <c r="F239" s="39"/>
      <c r="G239" s="39"/>
      <c r="H239" s="40"/>
      <c r="I239" s="39"/>
      <c r="J239" s="48"/>
      <c r="K239" s="39"/>
      <c r="L239" s="39"/>
      <c r="M239" s="39"/>
      <c r="N239" s="39"/>
      <c r="O239" s="39"/>
      <c r="P239" s="39"/>
      <c r="Q239" s="39"/>
      <c r="R239" s="39"/>
      <c r="S239" s="39"/>
      <c r="T239" s="39"/>
      <c r="U239" s="39"/>
      <c r="V239" s="39"/>
      <c r="W239" s="39"/>
      <c r="X239" s="75"/>
      <c r="Y239" s="75">
        <v>0</v>
      </c>
      <c r="Z239" s="86">
        <v>1</v>
      </c>
      <c r="AA239" s="86">
        <v>1</v>
      </c>
      <c r="AB239" s="86">
        <v>1</v>
      </c>
      <c r="AC239" s="86">
        <v>1</v>
      </c>
      <c r="AD239" s="86">
        <v>1</v>
      </c>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91"/>
      <c r="BB239" s="75"/>
      <c r="BC239" s="75"/>
      <c r="BD239" s="75"/>
    </row>
    <row r="240" spans="1:56" s="49" customFormat="1" ht="34.5" customHeight="1">
      <c r="A240" s="408"/>
      <c r="B240" s="38" t="s">
        <v>302</v>
      </c>
      <c r="C240" s="38"/>
      <c r="D240" s="39"/>
      <c r="E240" s="39"/>
      <c r="F240" s="39"/>
      <c r="G240" s="39"/>
      <c r="H240" s="40">
        <f t="shared" si="19"/>
        <v>0</v>
      </c>
      <c r="I240" s="39"/>
      <c r="J240" s="48">
        <v>8000000</v>
      </c>
      <c r="K240" s="39"/>
      <c r="L240" s="39"/>
      <c r="M240" s="39">
        <f t="shared" si="96"/>
        <v>8000000</v>
      </c>
      <c r="N240" s="39">
        <f t="shared" si="102"/>
        <v>0</v>
      </c>
      <c r="O240" s="39">
        <f t="shared" si="103"/>
        <v>8320000</v>
      </c>
      <c r="P240" s="39">
        <f t="shared" si="104"/>
        <v>0</v>
      </c>
      <c r="Q240" s="39">
        <f t="shared" si="105"/>
        <v>0</v>
      </c>
      <c r="R240" s="39">
        <f t="shared" si="108"/>
        <v>8320000</v>
      </c>
      <c r="S240" s="39">
        <f t="shared" si="87"/>
        <v>0</v>
      </c>
      <c r="T240" s="39">
        <f t="shared" si="88"/>
        <v>8652800</v>
      </c>
      <c r="U240" s="39">
        <f t="shared" si="89"/>
        <v>0</v>
      </c>
      <c r="V240" s="39">
        <f t="shared" si="90"/>
        <v>0</v>
      </c>
      <c r="W240" s="39">
        <f t="shared" si="76"/>
        <v>8652800</v>
      </c>
      <c r="X240" s="75"/>
      <c r="Y240" s="75">
        <v>0</v>
      </c>
      <c r="Z240" s="75">
        <v>100</v>
      </c>
      <c r="AA240" s="75">
        <v>15</v>
      </c>
      <c r="AB240" s="75">
        <v>35</v>
      </c>
      <c r="AC240" s="75">
        <v>50</v>
      </c>
      <c r="AD240" s="75">
        <v>0</v>
      </c>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91"/>
      <c r="BB240" s="75"/>
      <c r="BC240" s="75"/>
      <c r="BD240" s="75"/>
    </row>
    <row r="241" spans="1:56" s="14" customFormat="1" ht="15">
      <c r="A241" s="407"/>
      <c r="B241" s="31" t="s">
        <v>342</v>
      </c>
      <c r="C241" s="31"/>
      <c r="D241" s="33">
        <f>D235+D236+D237+D238+D239+D240</f>
        <v>9139979</v>
      </c>
      <c r="E241" s="33">
        <f aca="true" t="shared" si="110" ref="E241:W241">E235+E236+E237+E238+E239+E240</f>
        <v>56275925</v>
      </c>
      <c r="F241" s="33">
        <f t="shared" si="110"/>
        <v>0</v>
      </c>
      <c r="G241" s="33">
        <f t="shared" si="110"/>
        <v>0</v>
      </c>
      <c r="H241" s="33">
        <f t="shared" si="110"/>
        <v>65415904</v>
      </c>
      <c r="I241" s="33">
        <f t="shared" si="110"/>
        <v>9505578.16</v>
      </c>
      <c r="J241" s="33">
        <f t="shared" si="110"/>
        <v>16000000</v>
      </c>
      <c r="K241" s="33">
        <f t="shared" si="110"/>
        <v>0</v>
      </c>
      <c r="L241" s="33">
        <f t="shared" si="110"/>
        <v>0</v>
      </c>
      <c r="M241" s="33">
        <f t="shared" si="110"/>
        <v>25505578.16</v>
      </c>
      <c r="N241" s="33">
        <f t="shared" si="110"/>
        <v>9885801.2864</v>
      </c>
      <c r="O241" s="33">
        <f t="shared" si="110"/>
        <v>16640000</v>
      </c>
      <c r="P241" s="33">
        <f t="shared" si="110"/>
        <v>0</v>
      </c>
      <c r="Q241" s="33">
        <f t="shared" si="110"/>
        <v>0</v>
      </c>
      <c r="R241" s="33">
        <f t="shared" si="110"/>
        <v>26525801.286399998</v>
      </c>
      <c r="S241" s="33">
        <f t="shared" si="110"/>
        <v>10281233.337856</v>
      </c>
      <c r="T241" s="33">
        <f t="shared" si="110"/>
        <v>17305600</v>
      </c>
      <c r="U241" s="33">
        <f t="shared" si="110"/>
        <v>0</v>
      </c>
      <c r="V241" s="33">
        <f t="shared" si="110"/>
        <v>0</v>
      </c>
      <c r="W241" s="33">
        <f t="shared" si="110"/>
        <v>27586833.337856002</v>
      </c>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row>
    <row r="242" spans="1:56" s="14" customFormat="1" ht="15">
      <c r="A242" s="394" t="s">
        <v>58</v>
      </c>
      <c r="B242" s="395"/>
      <c r="C242" s="65"/>
      <c r="D242" s="51">
        <v>5936328</v>
      </c>
      <c r="E242" s="51">
        <v>34712102</v>
      </c>
      <c r="F242" s="51">
        <f>SUM(F243:F264)</f>
        <v>0</v>
      </c>
      <c r="G242" s="51">
        <v>4300104</v>
      </c>
      <c r="H242" s="51">
        <f>D242+E242+F242+G242</f>
        <v>44948534</v>
      </c>
      <c r="I242" s="51">
        <v>11042778</v>
      </c>
      <c r="J242" s="51">
        <v>31706476</v>
      </c>
      <c r="K242" s="51">
        <v>4472108</v>
      </c>
      <c r="L242" s="51">
        <v>11300000</v>
      </c>
      <c r="M242" s="51">
        <f>I242+J242+K242+L242</f>
        <v>58521362</v>
      </c>
      <c r="N242" s="53">
        <v>11484489</v>
      </c>
      <c r="O242" s="51">
        <v>32974735</v>
      </c>
      <c r="P242" s="53">
        <v>4650992</v>
      </c>
      <c r="Q242" s="53"/>
      <c r="R242" s="51">
        <f>N242+O242+P242</f>
        <v>49110216</v>
      </c>
      <c r="S242" s="53">
        <v>11943869</v>
      </c>
      <c r="T242" s="53">
        <v>34293724</v>
      </c>
      <c r="U242" s="53">
        <v>4837032</v>
      </c>
      <c r="V242" s="53"/>
      <c r="W242" s="51">
        <f>S242+T242+U242</f>
        <v>51074625</v>
      </c>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c r="AZ242" s="79"/>
      <c r="BA242" s="79"/>
      <c r="BB242" s="79"/>
      <c r="BC242" s="79"/>
      <c r="BD242" s="79"/>
    </row>
    <row r="243" spans="1:56" s="49" customFormat="1" ht="48">
      <c r="A243" s="406" t="s">
        <v>304</v>
      </c>
      <c r="B243" s="45" t="s">
        <v>305</v>
      </c>
      <c r="C243" s="45"/>
      <c r="D243" s="39"/>
      <c r="E243" s="39">
        <f>2500000+5000000</f>
        <v>7500000</v>
      </c>
      <c r="F243" s="39"/>
      <c r="G243" s="39"/>
      <c r="H243" s="40">
        <f t="shared" si="19"/>
        <v>7500000</v>
      </c>
      <c r="I243" s="39"/>
      <c r="J243" s="39">
        <v>8000000</v>
      </c>
      <c r="K243" s="39"/>
      <c r="L243" s="39"/>
      <c r="M243" s="40">
        <f aca="true" t="shared" si="111" ref="M243:M264">SUM(I243:L243)</f>
        <v>8000000</v>
      </c>
      <c r="N243" s="39">
        <f aca="true" t="shared" si="112" ref="N243:N264">+I243*4%+I243</f>
        <v>0</v>
      </c>
      <c r="O243" s="39">
        <f aca="true" t="shared" si="113" ref="O243:O264">+J243*4%+J243</f>
        <v>8320000</v>
      </c>
      <c r="P243" s="39">
        <f aca="true" t="shared" si="114" ref="P243:P264">+K243*4%+K243</f>
        <v>0</v>
      </c>
      <c r="Q243" s="39">
        <f aca="true" t="shared" si="115" ref="Q243:Q264">+L243*4%+L243</f>
        <v>0</v>
      </c>
      <c r="R243" s="39">
        <f t="shared" si="108"/>
        <v>8320000</v>
      </c>
      <c r="S243" s="40">
        <f aca="true" t="shared" si="116" ref="S243:S271">+N243*4%+N243</f>
        <v>0</v>
      </c>
      <c r="T243" s="39">
        <f aca="true" t="shared" si="117" ref="T243:T271">+O243*4%+O243</f>
        <v>8652800</v>
      </c>
      <c r="U243" s="40">
        <f aca="true" t="shared" si="118" ref="U243:U271">+P243*4%+P243</f>
        <v>0</v>
      </c>
      <c r="V243" s="40">
        <f aca="true" t="shared" si="119" ref="V243:V271">+Q243*4%+Q243</f>
        <v>0</v>
      </c>
      <c r="W243" s="40">
        <f t="shared" si="76"/>
        <v>8652800</v>
      </c>
      <c r="X243" s="75"/>
      <c r="Y243" s="75">
        <v>1</v>
      </c>
      <c r="Z243" s="75">
        <v>5</v>
      </c>
      <c r="AA243" s="75">
        <v>1</v>
      </c>
      <c r="AB243" s="75">
        <v>1</v>
      </c>
      <c r="AC243" s="75">
        <v>1</v>
      </c>
      <c r="AD243" s="75">
        <v>1</v>
      </c>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91"/>
      <c r="BB243" s="75"/>
      <c r="BC243" s="75"/>
      <c r="BD243" s="75"/>
    </row>
    <row r="244" spans="1:56" s="49" customFormat="1" ht="24">
      <c r="A244" s="408"/>
      <c r="B244" s="45" t="s">
        <v>225</v>
      </c>
      <c r="C244" s="45"/>
      <c r="D244" s="39"/>
      <c r="E244" s="39"/>
      <c r="F244" s="39"/>
      <c r="G244" s="39"/>
      <c r="H244" s="40"/>
      <c r="I244" s="39"/>
      <c r="J244" s="39"/>
      <c r="K244" s="39"/>
      <c r="L244" s="39"/>
      <c r="M244" s="40"/>
      <c r="N244" s="39"/>
      <c r="O244" s="39"/>
      <c r="P244" s="39"/>
      <c r="Q244" s="39"/>
      <c r="R244" s="39"/>
      <c r="S244" s="40"/>
      <c r="T244" s="39"/>
      <c r="U244" s="40"/>
      <c r="V244" s="40"/>
      <c r="W244" s="40"/>
      <c r="X244" s="75"/>
      <c r="Y244" s="75">
        <v>0</v>
      </c>
      <c r="Z244" s="75">
        <v>3</v>
      </c>
      <c r="AA244" s="75">
        <v>0</v>
      </c>
      <c r="AB244" s="75">
        <v>1</v>
      </c>
      <c r="AC244" s="75">
        <v>1</v>
      </c>
      <c r="AD244" s="75">
        <v>1</v>
      </c>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row>
    <row r="245" spans="1:56" s="49" customFormat="1" ht="36">
      <c r="A245" s="408"/>
      <c r="B245" s="45" t="s">
        <v>226</v>
      </c>
      <c r="C245" s="45"/>
      <c r="D245" s="39"/>
      <c r="E245" s="39">
        <f>2000000+5192853+1500000</f>
        <v>8692853</v>
      </c>
      <c r="F245" s="39"/>
      <c r="G245" s="39"/>
      <c r="H245" s="40">
        <f t="shared" si="19"/>
        <v>8692853</v>
      </c>
      <c r="I245" s="39"/>
      <c r="J245" s="39"/>
      <c r="K245" s="39"/>
      <c r="L245" s="39"/>
      <c r="M245" s="40">
        <f t="shared" si="111"/>
        <v>0</v>
      </c>
      <c r="N245" s="39">
        <f t="shared" si="112"/>
        <v>0</v>
      </c>
      <c r="O245" s="39">
        <f t="shared" si="113"/>
        <v>0</v>
      </c>
      <c r="P245" s="39">
        <f t="shared" si="114"/>
        <v>0</v>
      </c>
      <c r="Q245" s="39">
        <f t="shared" si="115"/>
        <v>0</v>
      </c>
      <c r="R245" s="39">
        <f t="shared" si="108"/>
        <v>0</v>
      </c>
      <c r="S245" s="40">
        <f t="shared" si="116"/>
        <v>0</v>
      </c>
      <c r="T245" s="39">
        <f t="shared" si="117"/>
        <v>0</v>
      </c>
      <c r="U245" s="40">
        <f t="shared" si="118"/>
        <v>0</v>
      </c>
      <c r="V245" s="40">
        <f t="shared" si="119"/>
        <v>0</v>
      </c>
      <c r="W245" s="40">
        <f t="shared" si="76"/>
        <v>0</v>
      </c>
      <c r="X245" s="75"/>
      <c r="Y245" s="75">
        <v>0</v>
      </c>
      <c r="Z245" s="75">
        <v>5</v>
      </c>
      <c r="AA245" s="75">
        <v>1</v>
      </c>
      <c r="AB245" s="75">
        <v>2</v>
      </c>
      <c r="AC245" s="75">
        <v>1</v>
      </c>
      <c r="AD245" s="75">
        <v>1</v>
      </c>
      <c r="AE245" s="75"/>
      <c r="AF245" s="75"/>
      <c r="AG245" s="75"/>
      <c r="AH245" s="75"/>
      <c r="AI245" s="75"/>
      <c r="AJ245" s="75"/>
      <c r="AK245" s="75"/>
      <c r="AL245" s="75"/>
      <c r="AM245" s="75"/>
      <c r="AN245" s="75"/>
      <c r="AO245" s="75"/>
      <c r="AP245" s="75"/>
      <c r="AQ245" s="75"/>
      <c r="AR245" s="75"/>
      <c r="AS245" s="75"/>
      <c r="AT245" s="75"/>
      <c r="AU245" s="75"/>
      <c r="AV245" s="75"/>
      <c r="AW245" s="75"/>
      <c r="AX245" s="75"/>
      <c r="AY245" s="75"/>
      <c r="AZ245" s="75"/>
      <c r="BA245" s="91"/>
      <c r="BB245" s="75"/>
      <c r="BC245" s="75"/>
      <c r="BD245" s="75"/>
    </row>
    <row r="246" spans="1:56" s="12" customFormat="1" ht="15">
      <c r="A246" s="407"/>
      <c r="B246" s="31" t="s">
        <v>342</v>
      </c>
      <c r="C246" s="31"/>
      <c r="D246" s="33">
        <f>D243+D244+D245</f>
        <v>0</v>
      </c>
      <c r="E246" s="33">
        <f aca="true" t="shared" si="120" ref="E246:W246">E243+E244+E245</f>
        <v>16192853</v>
      </c>
      <c r="F246" s="33">
        <f t="shared" si="120"/>
        <v>0</v>
      </c>
      <c r="G246" s="33">
        <f t="shared" si="120"/>
        <v>0</v>
      </c>
      <c r="H246" s="33">
        <f t="shared" si="120"/>
        <v>16192853</v>
      </c>
      <c r="I246" s="33">
        <f t="shared" si="120"/>
        <v>0</v>
      </c>
      <c r="J246" s="33">
        <f t="shared" si="120"/>
        <v>8000000</v>
      </c>
      <c r="K246" s="33">
        <f t="shared" si="120"/>
        <v>0</v>
      </c>
      <c r="L246" s="33">
        <f t="shared" si="120"/>
        <v>0</v>
      </c>
      <c r="M246" s="33">
        <f t="shared" si="120"/>
        <v>8000000</v>
      </c>
      <c r="N246" s="33">
        <f t="shared" si="120"/>
        <v>0</v>
      </c>
      <c r="O246" s="33">
        <f t="shared" si="120"/>
        <v>8320000</v>
      </c>
      <c r="P246" s="33">
        <f t="shared" si="120"/>
        <v>0</v>
      </c>
      <c r="Q246" s="33">
        <f t="shared" si="120"/>
        <v>0</v>
      </c>
      <c r="R246" s="33">
        <f t="shared" si="120"/>
        <v>8320000</v>
      </c>
      <c r="S246" s="33">
        <f t="shared" si="120"/>
        <v>0</v>
      </c>
      <c r="T246" s="33">
        <f t="shared" si="120"/>
        <v>8652800</v>
      </c>
      <c r="U246" s="33">
        <f t="shared" si="120"/>
        <v>0</v>
      </c>
      <c r="V246" s="32">
        <f t="shared" si="120"/>
        <v>0</v>
      </c>
      <c r="W246" s="32">
        <f t="shared" si="120"/>
        <v>8652800</v>
      </c>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c r="AY246" s="76"/>
      <c r="AZ246" s="76"/>
      <c r="BA246" s="76"/>
      <c r="BB246" s="76"/>
      <c r="BC246" s="76"/>
      <c r="BD246" s="76"/>
    </row>
    <row r="247" spans="1:56" s="49" customFormat="1" ht="54" customHeight="1">
      <c r="A247" s="406" t="s">
        <v>227</v>
      </c>
      <c r="B247" s="45" t="s">
        <v>228</v>
      </c>
      <c r="C247" s="45"/>
      <c r="D247" s="39"/>
      <c r="E247" s="39"/>
      <c r="F247" s="39"/>
      <c r="G247" s="39"/>
      <c r="H247" s="40"/>
      <c r="I247" s="39"/>
      <c r="J247" s="39"/>
      <c r="K247" s="39"/>
      <c r="L247" s="39">
        <v>2000000</v>
      </c>
      <c r="M247" s="40"/>
      <c r="N247" s="39"/>
      <c r="O247" s="39"/>
      <c r="P247" s="39"/>
      <c r="Q247" s="39"/>
      <c r="R247" s="39"/>
      <c r="S247" s="40"/>
      <c r="T247" s="39"/>
      <c r="U247" s="40"/>
      <c r="V247" s="40"/>
      <c r="W247" s="40"/>
      <c r="X247" s="75"/>
      <c r="Y247" s="75">
        <v>0</v>
      </c>
      <c r="Z247" s="75">
        <v>8</v>
      </c>
      <c r="AA247" s="75">
        <v>2</v>
      </c>
      <c r="AB247" s="75">
        <v>2</v>
      </c>
      <c r="AC247" s="75">
        <v>2</v>
      </c>
      <c r="AD247" s="75">
        <v>2</v>
      </c>
      <c r="AE247" s="75"/>
      <c r="AF247" s="75"/>
      <c r="AG247" s="75"/>
      <c r="AH247" s="75"/>
      <c r="AI247" s="75"/>
      <c r="AJ247" s="75"/>
      <c r="AK247" s="75"/>
      <c r="AL247" s="75"/>
      <c r="AM247" s="75"/>
      <c r="AN247" s="75"/>
      <c r="AO247" s="75"/>
      <c r="AP247" s="75"/>
      <c r="AQ247" s="75"/>
      <c r="AR247" s="75"/>
      <c r="AS247" s="75"/>
      <c r="AT247" s="75"/>
      <c r="AU247" s="75"/>
      <c r="AV247" s="75"/>
      <c r="AW247" s="75"/>
      <c r="AX247" s="75"/>
      <c r="AY247" s="75"/>
      <c r="AZ247" s="75"/>
      <c r="BA247" s="91"/>
      <c r="BB247" s="75"/>
      <c r="BC247" s="75"/>
      <c r="BD247" s="75"/>
    </row>
    <row r="248" spans="1:56" s="49" customFormat="1" ht="36.75" customHeight="1">
      <c r="A248" s="408"/>
      <c r="B248" s="45" t="s">
        <v>366</v>
      </c>
      <c r="C248" s="45"/>
      <c r="D248" s="39"/>
      <c r="E248" s="39"/>
      <c r="F248" s="39"/>
      <c r="G248" s="39"/>
      <c r="H248" s="40"/>
      <c r="I248" s="39"/>
      <c r="J248" s="39"/>
      <c r="K248" s="39"/>
      <c r="L248" s="39">
        <v>1000000</v>
      </c>
      <c r="M248" s="40"/>
      <c r="N248" s="39"/>
      <c r="O248" s="39"/>
      <c r="P248" s="39"/>
      <c r="Q248" s="39"/>
      <c r="R248" s="39"/>
      <c r="S248" s="40"/>
      <c r="T248" s="39"/>
      <c r="U248" s="40"/>
      <c r="V248" s="40"/>
      <c r="W248" s="40"/>
      <c r="X248" s="75"/>
      <c r="Y248" s="75">
        <v>0</v>
      </c>
      <c r="Z248" s="75">
        <v>20</v>
      </c>
      <c r="AA248" s="75">
        <v>2</v>
      </c>
      <c r="AB248" s="75">
        <v>10</v>
      </c>
      <c r="AC248" s="75">
        <v>5</v>
      </c>
      <c r="AD248" s="75">
        <v>3</v>
      </c>
      <c r="AE248" s="75"/>
      <c r="AF248" s="75"/>
      <c r="AG248" s="75"/>
      <c r="AH248" s="75"/>
      <c r="AI248" s="75"/>
      <c r="AJ248" s="75"/>
      <c r="AK248" s="75"/>
      <c r="AL248" s="75"/>
      <c r="AM248" s="75"/>
      <c r="AN248" s="75"/>
      <c r="AO248" s="75"/>
      <c r="AP248" s="75"/>
      <c r="AQ248" s="75"/>
      <c r="AR248" s="75"/>
      <c r="AS248" s="75"/>
      <c r="AT248" s="75"/>
      <c r="AU248" s="75"/>
      <c r="AV248" s="75"/>
      <c r="AW248" s="75"/>
      <c r="AX248" s="75"/>
      <c r="AY248" s="75"/>
      <c r="AZ248" s="75"/>
      <c r="BA248" s="91"/>
      <c r="BB248" s="75"/>
      <c r="BC248" s="75"/>
      <c r="BD248" s="75"/>
    </row>
    <row r="249" spans="1:56" s="49" customFormat="1" ht="40.5" customHeight="1">
      <c r="A249" s="408"/>
      <c r="B249" s="45" t="s">
        <v>367</v>
      </c>
      <c r="C249" s="45"/>
      <c r="D249" s="39"/>
      <c r="E249" s="39"/>
      <c r="F249" s="39"/>
      <c r="G249" s="39"/>
      <c r="H249" s="40">
        <f t="shared" si="19"/>
        <v>0</v>
      </c>
      <c r="I249" s="39"/>
      <c r="J249" s="39">
        <v>1500000</v>
      </c>
      <c r="K249" s="39"/>
      <c r="L249" s="39"/>
      <c r="M249" s="40">
        <f t="shared" si="111"/>
        <v>1500000</v>
      </c>
      <c r="N249" s="39">
        <f t="shared" si="112"/>
        <v>0</v>
      </c>
      <c r="O249" s="39">
        <f t="shared" si="113"/>
        <v>1560000</v>
      </c>
      <c r="P249" s="39">
        <f t="shared" si="114"/>
        <v>0</v>
      </c>
      <c r="Q249" s="39">
        <f t="shared" si="115"/>
        <v>0</v>
      </c>
      <c r="R249" s="39">
        <f t="shared" si="108"/>
        <v>1560000</v>
      </c>
      <c r="S249" s="40">
        <f t="shared" si="116"/>
        <v>0</v>
      </c>
      <c r="T249" s="39">
        <f t="shared" si="117"/>
        <v>1622400</v>
      </c>
      <c r="U249" s="40">
        <f t="shared" si="118"/>
        <v>0</v>
      </c>
      <c r="V249" s="40">
        <f t="shared" si="119"/>
        <v>0</v>
      </c>
      <c r="W249" s="40">
        <f t="shared" si="76"/>
        <v>1622400</v>
      </c>
      <c r="X249" s="75"/>
      <c r="Y249" s="75">
        <v>0</v>
      </c>
      <c r="Z249" s="75">
        <v>1</v>
      </c>
      <c r="AA249" s="75">
        <v>0</v>
      </c>
      <c r="AB249" s="75">
        <v>1</v>
      </c>
      <c r="AC249" s="75">
        <v>0</v>
      </c>
      <c r="AD249" s="75">
        <v>0</v>
      </c>
      <c r="AE249" s="75"/>
      <c r="AF249" s="75"/>
      <c r="AG249" s="75"/>
      <c r="AH249" s="75"/>
      <c r="AI249" s="75"/>
      <c r="AJ249" s="75"/>
      <c r="AK249" s="75"/>
      <c r="AL249" s="75"/>
      <c r="AM249" s="75"/>
      <c r="AN249" s="75"/>
      <c r="AO249" s="75"/>
      <c r="AP249" s="75"/>
      <c r="AQ249" s="75"/>
      <c r="AR249" s="75"/>
      <c r="AS249" s="75"/>
      <c r="AT249" s="75"/>
      <c r="AU249" s="75"/>
      <c r="AV249" s="75"/>
      <c r="AW249" s="75"/>
      <c r="AX249" s="75"/>
      <c r="AY249" s="75"/>
      <c r="AZ249" s="75"/>
      <c r="BA249" s="91"/>
      <c r="BB249" s="75"/>
      <c r="BC249" s="75"/>
      <c r="BD249" s="75"/>
    </row>
    <row r="250" spans="1:56" s="12" customFormat="1" ht="15">
      <c r="A250" s="407"/>
      <c r="B250" s="31" t="s">
        <v>342</v>
      </c>
      <c r="C250" s="31"/>
      <c r="D250" s="33">
        <f>D247+D248+D249</f>
        <v>0</v>
      </c>
      <c r="E250" s="33">
        <f aca="true" t="shared" si="121" ref="E250:W250">E247+E248+E249</f>
        <v>0</v>
      </c>
      <c r="F250" s="33">
        <f t="shared" si="121"/>
        <v>0</v>
      </c>
      <c r="G250" s="33">
        <f t="shared" si="121"/>
        <v>0</v>
      </c>
      <c r="H250" s="33">
        <f t="shared" si="121"/>
        <v>0</v>
      </c>
      <c r="I250" s="33">
        <f t="shared" si="121"/>
        <v>0</v>
      </c>
      <c r="J250" s="33">
        <f t="shared" si="121"/>
        <v>1500000</v>
      </c>
      <c r="K250" s="33">
        <f t="shared" si="121"/>
        <v>0</v>
      </c>
      <c r="L250" s="33">
        <f t="shared" si="121"/>
        <v>3000000</v>
      </c>
      <c r="M250" s="33">
        <f t="shared" si="121"/>
        <v>1500000</v>
      </c>
      <c r="N250" s="33">
        <f t="shared" si="121"/>
        <v>0</v>
      </c>
      <c r="O250" s="33">
        <f t="shared" si="121"/>
        <v>1560000</v>
      </c>
      <c r="P250" s="33">
        <f t="shared" si="121"/>
        <v>0</v>
      </c>
      <c r="Q250" s="33">
        <f t="shared" si="121"/>
        <v>0</v>
      </c>
      <c r="R250" s="33">
        <f t="shared" si="121"/>
        <v>1560000</v>
      </c>
      <c r="S250" s="33">
        <f t="shared" si="121"/>
        <v>0</v>
      </c>
      <c r="T250" s="33">
        <f t="shared" si="121"/>
        <v>1622400</v>
      </c>
      <c r="U250" s="33">
        <f t="shared" si="121"/>
        <v>0</v>
      </c>
      <c r="V250" s="33">
        <f t="shared" si="121"/>
        <v>0</v>
      </c>
      <c r="W250" s="33">
        <f t="shared" si="121"/>
        <v>1622400</v>
      </c>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c r="AX250" s="76"/>
      <c r="AY250" s="76"/>
      <c r="AZ250" s="76"/>
      <c r="BA250" s="76"/>
      <c r="BB250" s="76"/>
      <c r="BC250" s="76"/>
      <c r="BD250" s="76"/>
    </row>
    <row r="251" spans="1:56" s="12" customFormat="1" ht="43.5" customHeight="1">
      <c r="A251" s="406" t="s">
        <v>229</v>
      </c>
      <c r="B251" s="45" t="s">
        <v>230</v>
      </c>
      <c r="C251" s="45"/>
      <c r="D251" s="39">
        <v>0</v>
      </c>
      <c r="E251" s="39">
        <v>3171312</v>
      </c>
      <c r="F251" s="39"/>
      <c r="G251" s="39"/>
      <c r="H251" s="40">
        <f t="shared" si="19"/>
        <v>3171312</v>
      </c>
      <c r="I251" s="39"/>
      <c r="J251" s="39">
        <v>10000000</v>
      </c>
      <c r="K251" s="39"/>
      <c r="L251" s="39"/>
      <c r="M251" s="40">
        <f t="shared" si="111"/>
        <v>10000000</v>
      </c>
      <c r="N251" s="39">
        <f t="shared" si="112"/>
        <v>0</v>
      </c>
      <c r="O251" s="39">
        <f t="shared" si="113"/>
        <v>10400000</v>
      </c>
      <c r="P251" s="39">
        <f t="shared" si="114"/>
        <v>0</v>
      </c>
      <c r="Q251" s="39">
        <f t="shared" si="115"/>
        <v>0</v>
      </c>
      <c r="R251" s="39">
        <f t="shared" si="108"/>
        <v>10400000</v>
      </c>
      <c r="S251" s="40">
        <f t="shared" si="116"/>
        <v>0</v>
      </c>
      <c r="T251" s="39">
        <f t="shared" si="117"/>
        <v>10816000</v>
      </c>
      <c r="U251" s="40">
        <f t="shared" si="118"/>
        <v>0</v>
      </c>
      <c r="V251" s="40">
        <f t="shared" si="119"/>
        <v>0</v>
      </c>
      <c r="W251" s="40">
        <f t="shared" si="76"/>
        <v>10816000</v>
      </c>
      <c r="X251" s="76"/>
      <c r="Y251" s="76">
        <v>0</v>
      </c>
      <c r="Z251" s="76">
        <v>1</v>
      </c>
      <c r="AA251" s="76">
        <v>0</v>
      </c>
      <c r="AB251" s="76">
        <v>0</v>
      </c>
      <c r="AC251" s="76">
        <v>1</v>
      </c>
      <c r="AD251" s="76">
        <v>0</v>
      </c>
      <c r="AE251" s="76"/>
      <c r="AF251" s="76"/>
      <c r="AG251" s="76"/>
      <c r="AH251" s="76"/>
      <c r="AI251" s="76"/>
      <c r="AJ251" s="76"/>
      <c r="AK251" s="76"/>
      <c r="AL251" s="76"/>
      <c r="AM251" s="76"/>
      <c r="AN251" s="76"/>
      <c r="AO251" s="76"/>
      <c r="AP251" s="76"/>
      <c r="AQ251" s="76"/>
      <c r="AR251" s="76"/>
      <c r="AS251" s="76"/>
      <c r="AT251" s="76"/>
      <c r="AU251" s="76"/>
      <c r="AV251" s="76"/>
      <c r="AW251" s="76"/>
      <c r="AX251" s="76"/>
      <c r="AY251" s="76"/>
      <c r="AZ251" s="76"/>
      <c r="BA251" s="76"/>
      <c r="BB251" s="76"/>
      <c r="BC251" s="76"/>
      <c r="BD251" s="76"/>
    </row>
    <row r="252" spans="1:56" s="12" customFormat="1" ht="15">
      <c r="A252" s="407"/>
      <c r="B252" s="31" t="s">
        <v>342</v>
      </c>
      <c r="C252" s="31"/>
      <c r="D252" s="33">
        <f>SUM(D251)</f>
        <v>0</v>
      </c>
      <c r="E252" s="33">
        <f aca="true" t="shared" si="122" ref="E252:W252">SUM(E251)</f>
        <v>3171312</v>
      </c>
      <c r="F252" s="33">
        <f t="shared" si="122"/>
        <v>0</v>
      </c>
      <c r="G252" s="33">
        <f t="shared" si="122"/>
        <v>0</v>
      </c>
      <c r="H252" s="33">
        <f t="shared" si="122"/>
        <v>3171312</v>
      </c>
      <c r="I252" s="33">
        <f t="shared" si="122"/>
        <v>0</v>
      </c>
      <c r="J252" s="33">
        <f t="shared" si="122"/>
        <v>10000000</v>
      </c>
      <c r="K252" s="33">
        <f t="shared" si="122"/>
        <v>0</v>
      </c>
      <c r="L252" s="33">
        <f t="shared" si="122"/>
        <v>0</v>
      </c>
      <c r="M252" s="33">
        <f t="shared" si="122"/>
        <v>10000000</v>
      </c>
      <c r="N252" s="33">
        <f t="shared" si="122"/>
        <v>0</v>
      </c>
      <c r="O252" s="33">
        <f t="shared" si="122"/>
        <v>10400000</v>
      </c>
      <c r="P252" s="33">
        <f t="shared" si="122"/>
        <v>0</v>
      </c>
      <c r="Q252" s="33">
        <f t="shared" si="122"/>
        <v>0</v>
      </c>
      <c r="R252" s="33">
        <f t="shared" si="122"/>
        <v>10400000</v>
      </c>
      <c r="S252" s="33">
        <f t="shared" si="122"/>
        <v>0</v>
      </c>
      <c r="T252" s="33">
        <f t="shared" si="122"/>
        <v>10816000</v>
      </c>
      <c r="U252" s="33">
        <f t="shared" si="122"/>
        <v>0</v>
      </c>
      <c r="V252" s="33">
        <f t="shared" si="122"/>
        <v>0</v>
      </c>
      <c r="W252" s="33">
        <f t="shared" si="122"/>
        <v>10816000</v>
      </c>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c r="AX252" s="76"/>
      <c r="AY252" s="76"/>
      <c r="AZ252" s="76"/>
      <c r="BA252" s="76"/>
      <c r="BB252" s="76"/>
      <c r="BC252" s="76"/>
      <c r="BD252" s="76"/>
    </row>
    <row r="253" spans="1:56" s="12" customFormat="1" ht="36" customHeight="1">
      <c r="A253" s="403" t="s">
        <v>231</v>
      </c>
      <c r="B253" s="45" t="s">
        <v>306</v>
      </c>
      <c r="C253" s="45"/>
      <c r="D253" s="39">
        <v>5936328</v>
      </c>
      <c r="E253" s="39">
        <v>12098935</v>
      </c>
      <c r="F253" s="39"/>
      <c r="G253" s="39"/>
      <c r="H253" s="40">
        <f t="shared" si="19"/>
        <v>18035263</v>
      </c>
      <c r="I253" s="39">
        <f>+D253*4%+D253</f>
        <v>6173781.12</v>
      </c>
      <c r="J253" s="39">
        <v>10000000</v>
      </c>
      <c r="K253" s="39"/>
      <c r="L253" s="39"/>
      <c r="M253" s="40">
        <f t="shared" si="111"/>
        <v>16173781.120000001</v>
      </c>
      <c r="N253" s="39">
        <f t="shared" si="112"/>
        <v>6420732.364800001</v>
      </c>
      <c r="O253" s="39">
        <f t="shared" si="113"/>
        <v>10400000</v>
      </c>
      <c r="P253" s="39">
        <f t="shared" si="114"/>
        <v>0</v>
      </c>
      <c r="Q253" s="39">
        <f t="shared" si="115"/>
        <v>0</v>
      </c>
      <c r="R253" s="39">
        <f t="shared" si="108"/>
        <v>16820732.3648</v>
      </c>
      <c r="S253" s="40">
        <f t="shared" si="116"/>
        <v>6677561.659392</v>
      </c>
      <c r="T253" s="39">
        <f t="shared" si="117"/>
        <v>10816000</v>
      </c>
      <c r="U253" s="40">
        <f t="shared" si="118"/>
        <v>0</v>
      </c>
      <c r="V253" s="40">
        <f t="shared" si="119"/>
        <v>0</v>
      </c>
      <c r="W253" s="40">
        <f t="shared" si="76"/>
        <v>17493561.659392</v>
      </c>
      <c r="X253" s="76"/>
      <c r="Y253" s="76">
        <v>0</v>
      </c>
      <c r="Z253" s="86">
        <v>1</v>
      </c>
      <c r="AA253" s="86">
        <v>0.25</v>
      </c>
      <c r="AB253" s="86">
        <v>0.25</v>
      </c>
      <c r="AC253" s="86">
        <v>0.25</v>
      </c>
      <c r="AD253" s="86">
        <v>0.25</v>
      </c>
      <c r="AE253" s="76"/>
      <c r="AF253" s="76"/>
      <c r="AG253" s="76"/>
      <c r="AH253" s="76"/>
      <c r="AI253" s="76"/>
      <c r="AJ253" s="76"/>
      <c r="AK253" s="76"/>
      <c r="AL253" s="76"/>
      <c r="AM253" s="76"/>
      <c r="AN253" s="76"/>
      <c r="AO253" s="76"/>
      <c r="AP253" s="76"/>
      <c r="AQ253" s="76"/>
      <c r="AR253" s="76"/>
      <c r="AS253" s="76"/>
      <c r="AT253" s="76"/>
      <c r="AU253" s="76"/>
      <c r="AV253" s="76"/>
      <c r="AW253" s="76"/>
      <c r="AX253" s="76"/>
      <c r="AY253" s="76"/>
      <c r="AZ253" s="76"/>
      <c r="BA253" s="91"/>
      <c r="BB253" s="76"/>
      <c r="BC253" s="76"/>
      <c r="BD253" s="76"/>
    </row>
    <row r="254" spans="1:56" s="12" customFormat="1" ht="44.25" customHeight="1">
      <c r="A254" s="403"/>
      <c r="B254" s="45" t="s">
        <v>72</v>
      </c>
      <c r="C254" s="45"/>
      <c r="D254" s="39"/>
      <c r="E254" s="39"/>
      <c r="F254" s="39"/>
      <c r="G254" s="39"/>
      <c r="H254" s="40">
        <f t="shared" si="19"/>
        <v>0</v>
      </c>
      <c r="I254" s="39">
        <v>200000</v>
      </c>
      <c r="J254" s="39"/>
      <c r="K254" s="39"/>
      <c r="L254" s="39"/>
      <c r="M254" s="40">
        <f t="shared" si="111"/>
        <v>200000</v>
      </c>
      <c r="N254" s="39">
        <f t="shared" si="112"/>
        <v>208000</v>
      </c>
      <c r="O254" s="39">
        <f t="shared" si="113"/>
        <v>0</v>
      </c>
      <c r="P254" s="39">
        <f t="shared" si="114"/>
        <v>0</v>
      </c>
      <c r="Q254" s="39">
        <f t="shared" si="115"/>
        <v>0</v>
      </c>
      <c r="R254" s="39">
        <f t="shared" si="108"/>
        <v>208000</v>
      </c>
      <c r="S254" s="40">
        <f t="shared" si="116"/>
        <v>216320</v>
      </c>
      <c r="T254" s="39">
        <f t="shared" si="117"/>
        <v>0</v>
      </c>
      <c r="U254" s="40">
        <f t="shared" si="118"/>
        <v>0</v>
      </c>
      <c r="V254" s="40">
        <f t="shared" si="119"/>
        <v>0</v>
      </c>
      <c r="W254" s="40">
        <f t="shared" si="76"/>
        <v>216320</v>
      </c>
      <c r="X254" s="76"/>
      <c r="Y254" s="76">
        <v>0</v>
      </c>
      <c r="Z254" s="76">
        <v>8</v>
      </c>
      <c r="AA254" s="76">
        <v>2</v>
      </c>
      <c r="AB254" s="76">
        <v>2</v>
      </c>
      <c r="AC254" s="76">
        <v>2</v>
      </c>
      <c r="AD254" s="76">
        <v>2</v>
      </c>
      <c r="AE254" s="76"/>
      <c r="AF254" s="76"/>
      <c r="AG254" s="76"/>
      <c r="AH254" s="76"/>
      <c r="AI254" s="76"/>
      <c r="AJ254" s="76"/>
      <c r="AK254" s="76"/>
      <c r="AL254" s="76"/>
      <c r="AM254" s="76"/>
      <c r="AN254" s="76"/>
      <c r="AO254" s="76"/>
      <c r="AP254" s="76"/>
      <c r="AQ254" s="76"/>
      <c r="AR254" s="76"/>
      <c r="AS254" s="76"/>
      <c r="AT254" s="76"/>
      <c r="AU254" s="76"/>
      <c r="AV254" s="76"/>
      <c r="AW254" s="76"/>
      <c r="AX254" s="76"/>
      <c r="AY254" s="76"/>
      <c r="AZ254" s="76"/>
      <c r="BA254" s="91"/>
      <c r="BB254" s="76"/>
      <c r="BC254" s="76"/>
      <c r="BD254" s="76"/>
    </row>
    <row r="255" spans="1:56" s="12" customFormat="1" ht="66" customHeight="1">
      <c r="A255" s="403"/>
      <c r="B255" s="45" t="s">
        <v>232</v>
      </c>
      <c r="C255" s="45"/>
      <c r="D255" s="39"/>
      <c r="E255" s="39">
        <v>500000</v>
      </c>
      <c r="F255" s="39"/>
      <c r="G255" s="39"/>
      <c r="H255" s="40">
        <f t="shared" si="19"/>
        <v>500000</v>
      </c>
      <c r="I255" s="39"/>
      <c r="J255" s="39">
        <v>1000000</v>
      </c>
      <c r="K255" s="39"/>
      <c r="L255" s="39"/>
      <c r="M255" s="40">
        <f t="shared" si="111"/>
        <v>1000000</v>
      </c>
      <c r="N255" s="39">
        <f t="shared" si="112"/>
        <v>0</v>
      </c>
      <c r="O255" s="39">
        <f t="shared" si="113"/>
        <v>1040000</v>
      </c>
      <c r="P255" s="39">
        <f t="shared" si="114"/>
        <v>0</v>
      </c>
      <c r="Q255" s="39">
        <f t="shared" si="115"/>
        <v>0</v>
      </c>
      <c r="R255" s="39">
        <f t="shared" si="108"/>
        <v>1040000</v>
      </c>
      <c r="S255" s="40">
        <f t="shared" si="116"/>
        <v>0</v>
      </c>
      <c r="T255" s="39">
        <f t="shared" si="117"/>
        <v>1081600</v>
      </c>
      <c r="U255" s="40">
        <f t="shared" si="118"/>
        <v>0</v>
      </c>
      <c r="V255" s="40">
        <f t="shared" si="119"/>
        <v>0</v>
      </c>
      <c r="W255" s="40">
        <f t="shared" si="76"/>
        <v>1081600</v>
      </c>
      <c r="X255" s="76"/>
      <c r="Y255" s="76">
        <v>0</v>
      </c>
      <c r="Z255" s="76">
        <v>4</v>
      </c>
      <c r="AA255" s="76">
        <v>1</v>
      </c>
      <c r="AB255" s="76">
        <v>1</v>
      </c>
      <c r="AC255" s="76">
        <v>1</v>
      </c>
      <c r="AD255" s="76">
        <v>1</v>
      </c>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t="s">
        <v>375</v>
      </c>
      <c r="BB255" s="76"/>
      <c r="BC255" s="76"/>
      <c r="BD255" s="76"/>
    </row>
    <row r="256" spans="1:56" s="12" customFormat="1" ht="41.25" customHeight="1">
      <c r="A256" s="403"/>
      <c r="B256" s="45" t="s">
        <v>233</v>
      </c>
      <c r="C256" s="45"/>
      <c r="D256" s="39"/>
      <c r="E256" s="39"/>
      <c r="F256" s="39"/>
      <c r="G256" s="39"/>
      <c r="H256" s="40">
        <f t="shared" si="19"/>
        <v>0</v>
      </c>
      <c r="I256" s="39">
        <v>4668997</v>
      </c>
      <c r="J256" s="39"/>
      <c r="K256" s="39"/>
      <c r="L256" s="39"/>
      <c r="M256" s="40">
        <f t="shared" si="111"/>
        <v>4668997</v>
      </c>
      <c r="N256" s="39">
        <f t="shared" si="112"/>
        <v>4855756.88</v>
      </c>
      <c r="O256" s="39">
        <f t="shared" si="113"/>
        <v>0</v>
      </c>
      <c r="P256" s="39">
        <f t="shared" si="114"/>
        <v>0</v>
      </c>
      <c r="Q256" s="39">
        <f t="shared" si="115"/>
        <v>0</v>
      </c>
      <c r="R256" s="39">
        <f t="shared" si="108"/>
        <v>4855756.88</v>
      </c>
      <c r="S256" s="40">
        <f t="shared" si="116"/>
        <v>5049987.1552</v>
      </c>
      <c r="T256" s="39">
        <f t="shared" si="117"/>
        <v>0</v>
      </c>
      <c r="U256" s="40">
        <f t="shared" si="118"/>
        <v>0</v>
      </c>
      <c r="V256" s="40">
        <f t="shared" si="119"/>
        <v>0</v>
      </c>
      <c r="W256" s="40">
        <f t="shared" si="76"/>
        <v>5049987.1552</v>
      </c>
      <c r="X256" s="76"/>
      <c r="Y256" s="76">
        <v>0</v>
      </c>
      <c r="Z256" s="76">
        <v>25</v>
      </c>
      <c r="AA256" s="76">
        <v>0</v>
      </c>
      <c r="AB256" s="76">
        <v>0</v>
      </c>
      <c r="AC256" s="76">
        <v>25</v>
      </c>
      <c r="AD256" s="76"/>
      <c r="AE256" s="76"/>
      <c r="AF256" s="76"/>
      <c r="AG256" s="76"/>
      <c r="AH256" s="76"/>
      <c r="AI256" s="76"/>
      <c r="AJ256" s="76"/>
      <c r="AK256" s="76"/>
      <c r="AL256" s="76"/>
      <c r="AM256" s="76"/>
      <c r="AN256" s="76"/>
      <c r="AO256" s="76"/>
      <c r="AP256" s="76"/>
      <c r="AQ256" s="76"/>
      <c r="AR256" s="76"/>
      <c r="AS256" s="76"/>
      <c r="AT256" s="76"/>
      <c r="AU256" s="76"/>
      <c r="AV256" s="76"/>
      <c r="AW256" s="76"/>
      <c r="AX256" s="76"/>
      <c r="AY256" s="76"/>
      <c r="AZ256" s="76"/>
      <c r="BA256" s="76"/>
      <c r="BB256" s="76"/>
      <c r="BC256" s="76"/>
      <c r="BD256" s="76"/>
    </row>
    <row r="257" spans="1:56" s="12" customFormat="1" ht="39.75" customHeight="1">
      <c r="A257" s="403"/>
      <c r="B257" s="45" t="s">
        <v>79</v>
      </c>
      <c r="C257" s="45"/>
      <c r="D257" s="39"/>
      <c r="E257" s="39">
        <v>500000</v>
      </c>
      <c r="F257" s="39"/>
      <c r="G257" s="39"/>
      <c r="H257" s="40">
        <f t="shared" si="19"/>
        <v>500000</v>
      </c>
      <c r="I257" s="39"/>
      <c r="J257" s="39">
        <f>582892-376416</f>
        <v>206476</v>
      </c>
      <c r="K257" s="39"/>
      <c r="L257" s="39"/>
      <c r="M257" s="40">
        <f t="shared" si="111"/>
        <v>206476</v>
      </c>
      <c r="N257" s="39">
        <f t="shared" si="112"/>
        <v>0</v>
      </c>
      <c r="O257" s="39">
        <f t="shared" si="113"/>
        <v>214735.04</v>
      </c>
      <c r="P257" s="39">
        <f t="shared" si="114"/>
        <v>0</v>
      </c>
      <c r="Q257" s="39">
        <f t="shared" si="115"/>
        <v>0</v>
      </c>
      <c r="R257" s="39">
        <f t="shared" si="108"/>
        <v>214735.04</v>
      </c>
      <c r="S257" s="40">
        <f t="shared" si="116"/>
        <v>0</v>
      </c>
      <c r="T257" s="39">
        <f t="shared" si="117"/>
        <v>223324.44160000002</v>
      </c>
      <c r="U257" s="40">
        <f t="shared" si="118"/>
        <v>0</v>
      </c>
      <c r="V257" s="40">
        <f t="shared" si="119"/>
        <v>0</v>
      </c>
      <c r="W257" s="40">
        <f aca="true" t="shared" si="123" ref="W257:W297">SUM(S257:V257)</f>
        <v>223324.44160000002</v>
      </c>
      <c r="X257" s="76"/>
      <c r="Y257" s="76">
        <v>0</v>
      </c>
      <c r="Z257" s="76">
        <v>16</v>
      </c>
      <c r="AA257" s="76">
        <v>4</v>
      </c>
      <c r="AB257" s="76">
        <v>4</v>
      </c>
      <c r="AC257" s="76">
        <v>4</v>
      </c>
      <c r="AD257" s="76">
        <v>4</v>
      </c>
      <c r="AE257" s="76"/>
      <c r="AF257" s="76"/>
      <c r="AG257" s="76"/>
      <c r="AH257" s="76"/>
      <c r="AI257" s="76"/>
      <c r="AJ257" s="76"/>
      <c r="AK257" s="76"/>
      <c r="AL257" s="76"/>
      <c r="AM257" s="76"/>
      <c r="AN257" s="76"/>
      <c r="AO257" s="76"/>
      <c r="AP257" s="76"/>
      <c r="AQ257" s="76"/>
      <c r="AR257" s="76"/>
      <c r="AS257" s="76"/>
      <c r="AT257" s="76"/>
      <c r="AU257" s="76"/>
      <c r="AV257" s="76"/>
      <c r="AW257" s="76"/>
      <c r="AX257" s="76"/>
      <c r="AY257" s="76"/>
      <c r="AZ257" s="76"/>
      <c r="BA257" s="76" t="s">
        <v>375</v>
      </c>
      <c r="BB257" s="76"/>
      <c r="BC257" s="76"/>
      <c r="BD257" s="76"/>
    </row>
    <row r="258" spans="1:56" s="15" customFormat="1" ht="34.5" customHeight="1">
      <c r="A258" s="403"/>
      <c r="B258" s="45" t="s">
        <v>368</v>
      </c>
      <c r="C258" s="45"/>
      <c r="D258" s="39"/>
      <c r="E258" s="39">
        <v>1249002</v>
      </c>
      <c r="F258" s="39"/>
      <c r="G258" s="39">
        <v>4300104</v>
      </c>
      <c r="H258" s="40">
        <f>SUM(D258:G258)</f>
        <v>5549106</v>
      </c>
      <c r="I258" s="39"/>
      <c r="J258" s="39"/>
      <c r="K258" s="39">
        <v>4472108</v>
      </c>
      <c r="L258" s="39"/>
      <c r="M258" s="40">
        <f>SUM(I258:L258)</f>
        <v>4472108</v>
      </c>
      <c r="N258" s="39">
        <f>+I258*4%+I258</f>
        <v>0</v>
      </c>
      <c r="O258" s="39">
        <f>+J258*4%+J258</f>
        <v>0</v>
      </c>
      <c r="P258" s="39">
        <f>+K258*4%+K258</f>
        <v>4650992.32</v>
      </c>
      <c r="Q258" s="39">
        <f>+L258*4%+L258</f>
        <v>0</v>
      </c>
      <c r="R258" s="39">
        <f>SUM(N258:Q258)</f>
        <v>4650992.32</v>
      </c>
      <c r="S258" s="40">
        <f>+N258*4%+N258</f>
        <v>0</v>
      </c>
      <c r="T258" s="39">
        <f>+O258*4%+O258</f>
        <v>0</v>
      </c>
      <c r="U258" s="40">
        <f>+P258*4%+P258</f>
        <v>4837032.012800001</v>
      </c>
      <c r="V258" s="40">
        <f>+Q258*4%+Q258</f>
        <v>0</v>
      </c>
      <c r="W258" s="40">
        <f>SUM(S258:V258)</f>
        <v>4837032.012800001</v>
      </c>
      <c r="X258" s="80"/>
      <c r="Y258" s="76">
        <v>0</v>
      </c>
      <c r="Z258" s="86">
        <v>1</v>
      </c>
      <c r="AA258" s="86">
        <v>0.25</v>
      </c>
      <c r="AB258" s="86">
        <v>0.25</v>
      </c>
      <c r="AC258" s="86">
        <v>0.25</v>
      </c>
      <c r="AD258" s="86">
        <v>0.25</v>
      </c>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t="s">
        <v>375</v>
      </c>
      <c r="BB258" s="80"/>
      <c r="BC258" s="80"/>
      <c r="BD258" s="80"/>
    </row>
    <row r="259" spans="1:56" s="15" customFormat="1" ht="61.5" customHeight="1">
      <c r="A259" s="403"/>
      <c r="B259" s="45" t="s">
        <v>234</v>
      </c>
      <c r="C259" s="45"/>
      <c r="D259" s="39"/>
      <c r="E259" s="39"/>
      <c r="F259" s="39"/>
      <c r="G259" s="39"/>
      <c r="H259" s="40"/>
      <c r="I259" s="39"/>
      <c r="J259" s="39"/>
      <c r="K259" s="39"/>
      <c r="L259" s="39">
        <v>500000</v>
      </c>
      <c r="M259" s="40"/>
      <c r="N259" s="39"/>
      <c r="O259" s="39"/>
      <c r="P259" s="39"/>
      <c r="Q259" s="39"/>
      <c r="R259" s="39"/>
      <c r="S259" s="40"/>
      <c r="T259" s="39"/>
      <c r="U259" s="40"/>
      <c r="V259" s="40"/>
      <c r="W259" s="40"/>
      <c r="X259" s="80"/>
      <c r="Y259" s="80">
        <v>0</v>
      </c>
      <c r="Z259" s="80">
        <v>1</v>
      </c>
      <c r="AA259" s="80">
        <v>0</v>
      </c>
      <c r="AB259" s="80">
        <v>1</v>
      </c>
      <c r="AC259" s="80">
        <v>0</v>
      </c>
      <c r="AD259" s="80">
        <v>0</v>
      </c>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row>
    <row r="260" spans="1:56" s="12" customFormat="1" ht="48">
      <c r="A260" s="403"/>
      <c r="B260" s="45" t="s">
        <v>235</v>
      </c>
      <c r="C260" s="45"/>
      <c r="D260" s="39"/>
      <c r="E260" s="39"/>
      <c r="F260" s="39"/>
      <c r="G260" s="39"/>
      <c r="H260" s="40">
        <f t="shared" si="19"/>
        <v>0</v>
      </c>
      <c r="I260" s="39"/>
      <c r="J260" s="39">
        <v>1000000</v>
      </c>
      <c r="K260" s="39"/>
      <c r="L260" s="39"/>
      <c r="M260" s="40">
        <f t="shared" si="111"/>
        <v>1000000</v>
      </c>
      <c r="N260" s="39">
        <f t="shared" si="112"/>
        <v>0</v>
      </c>
      <c r="O260" s="39">
        <f t="shared" si="113"/>
        <v>1040000</v>
      </c>
      <c r="P260" s="39">
        <f t="shared" si="114"/>
        <v>0</v>
      </c>
      <c r="Q260" s="39">
        <f t="shared" si="115"/>
        <v>0</v>
      </c>
      <c r="R260" s="39">
        <f t="shared" si="108"/>
        <v>1040000</v>
      </c>
      <c r="S260" s="40">
        <f t="shared" si="116"/>
        <v>0</v>
      </c>
      <c r="T260" s="39">
        <f t="shared" si="117"/>
        <v>1081600</v>
      </c>
      <c r="U260" s="40">
        <f t="shared" si="118"/>
        <v>0</v>
      </c>
      <c r="V260" s="40">
        <f t="shared" si="119"/>
        <v>0</v>
      </c>
      <c r="W260" s="40">
        <f t="shared" si="123"/>
        <v>1081600</v>
      </c>
      <c r="X260" s="76"/>
      <c r="Y260" s="76">
        <v>0</v>
      </c>
      <c r="Z260" s="86">
        <v>1</v>
      </c>
      <c r="AA260" s="86">
        <v>0.25</v>
      </c>
      <c r="AB260" s="86">
        <v>0.25</v>
      </c>
      <c r="AC260" s="86">
        <v>0.25</v>
      </c>
      <c r="AD260" s="86">
        <v>0.25</v>
      </c>
      <c r="AE260" s="76"/>
      <c r="AF260" s="76"/>
      <c r="AG260" s="76"/>
      <c r="AH260" s="76"/>
      <c r="AI260" s="76"/>
      <c r="AJ260" s="76"/>
      <c r="AK260" s="76"/>
      <c r="AL260" s="76"/>
      <c r="AM260" s="76"/>
      <c r="AN260" s="76"/>
      <c r="AO260" s="76"/>
      <c r="AP260" s="76"/>
      <c r="AQ260" s="76"/>
      <c r="AR260" s="76"/>
      <c r="AS260" s="76"/>
      <c r="AT260" s="76"/>
      <c r="AU260" s="76"/>
      <c r="AV260" s="76"/>
      <c r="AW260" s="76"/>
      <c r="AX260" s="76"/>
      <c r="AY260" s="76"/>
      <c r="AZ260" s="76"/>
      <c r="BA260" s="91"/>
      <c r="BB260" s="76"/>
      <c r="BC260" s="76"/>
      <c r="BD260" s="76"/>
    </row>
    <row r="261" spans="1:56" s="12" customFormat="1" ht="48">
      <c r="A261" s="403"/>
      <c r="B261" s="45" t="s">
        <v>236</v>
      </c>
      <c r="C261" s="45"/>
      <c r="D261" s="39"/>
      <c r="E261" s="39"/>
      <c r="F261" s="39"/>
      <c r="G261" s="39"/>
      <c r="H261" s="40"/>
      <c r="I261" s="39"/>
      <c r="J261" s="39"/>
      <c r="K261" s="39"/>
      <c r="L261" s="39">
        <v>500000</v>
      </c>
      <c r="M261" s="40">
        <f t="shared" si="111"/>
        <v>500000</v>
      </c>
      <c r="N261" s="39"/>
      <c r="O261" s="39"/>
      <c r="P261" s="39"/>
      <c r="Q261" s="39"/>
      <c r="R261" s="39"/>
      <c r="S261" s="40"/>
      <c r="T261" s="39"/>
      <c r="U261" s="40"/>
      <c r="V261" s="40"/>
      <c r="W261" s="40"/>
      <c r="X261" s="76"/>
      <c r="Y261" s="76">
        <v>0</v>
      </c>
      <c r="Z261" s="76">
        <v>349</v>
      </c>
      <c r="AA261" s="76">
        <v>100</v>
      </c>
      <c r="AB261" s="76">
        <v>100</v>
      </c>
      <c r="AC261" s="76">
        <v>100</v>
      </c>
      <c r="AD261" s="76">
        <v>49</v>
      </c>
      <c r="AE261" s="76"/>
      <c r="AF261" s="76"/>
      <c r="AG261" s="76"/>
      <c r="AH261" s="76"/>
      <c r="AI261" s="76"/>
      <c r="AJ261" s="76"/>
      <c r="AK261" s="76"/>
      <c r="AL261" s="76"/>
      <c r="AM261" s="76"/>
      <c r="AN261" s="76"/>
      <c r="AO261" s="76"/>
      <c r="AP261" s="76"/>
      <c r="AQ261" s="76"/>
      <c r="AR261" s="76"/>
      <c r="AS261" s="76"/>
      <c r="AT261" s="76"/>
      <c r="AU261" s="76"/>
      <c r="AV261" s="76"/>
      <c r="AW261" s="76"/>
      <c r="AX261" s="76"/>
      <c r="AY261" s="76"/>
      <c r="AZ261" s="76"/>
      <c r="BA261" s="91"/>
      <c r="BB261" s="76"/>
      <c r="BC261" s="76"/>
      <c r="BD261" s="76"/>
    </row>
    <row r="262" spans="1:56" s="12" customFormat="1" ht="36">
      <c r="A262" s="403"/>
      <c r="B262" s="45" t="s">
        <v>237</v>
      </c>
      <c r="C262" s="45"/>
      <c r="D262" s="39"/>
      <c r="E262" s="39"/>
      <c r="F262" s="39"/>
      <c r="G262" s="39"/>
      <c r="H262" s="40"/>
      <c r="I262" s="39"/>
      <c r="J262" s="39"/>
      <c r="K262" s="39"/>
      <c r="L262" s="39"/>
      <c r="M262" s="40"/>
      <c r="N262" s="39"/>
      <c r="O262" s="39"/>
      <c r="P262" s="39"/>
      <c r="Q262" s="39"/>
      <c r="R262" s="39"/>
      <c r="S262" s="40"/>
      <c r="T262" s="39"/>
      <c r="U262" s="40"/>
      <c r="V262" s="40"/>
      <c r="W262" s="40"/>
      <c r="X262" s="76"/>
      <c r="Y262" s="76">
        <v>0</v>
      </c>
      <c r="Z262" s="76">
        <v>50</v>
      </c>
      <c r="AA262" s="76">
        <v>50</v>
      </c>
      <c r="AB262" s="76">
        <v>0</v>
      </c>
      <c r="AC262" s="76">
        <v>0</v>
      </c>
      <c r="AD262" s="76">
        <v>0</v>
      </c>
      <c r="AE262" s="76"/>
      <c r="AF262" s="76"/>
      <c r="AG262" s="76"/>
      <c r="AH262" s="76"/>
      <c r="AI262" s="76"/>
      <c r="AJ262" s="76"/>
      <c r="AK262" s="76"/>
      <c r="AL262" s="76"/>
      <c r="AM262" s="76"/>
      <c r="AN262" s="76"/>
      <c r="AO262" s="76"/>
      <c r="AP262" s="76"/>
      <c r="AQ262" s="76"/>
      <c r="AR262" s="76"/>
      <c r="AS262" s="76"/>
      <c r="AT262" s="76"/>
      <c r="AU262" s="76"/>
      <c r="AV262" s="76"/>
      <c r="AW262" s="76"/>
      <c r="AX262" s="76"/>
      <c r="AY262" s="76"/>
      <c r="AZ262" s="76"/>
      <c r="BA262" s="91" t="s">
        <v>375</v>
      </c>
      <c r="BB262" s="76"/>
      <c r="BC262" s="76"/>
      <c r="BD262" s="76"/>
    </row>
    <row r="263" spans="1:56" s="12" customFormat="1" ht="36">
      <c r="A263" s="403"/>
      <c r="B263" s="45" t="s">
        <v>307</v>
      </c>
      <c r="C263" s="45"/>
      <c r="D263" s="39"/>
      <c r="E263" s="39">
        <v>1000000</v>
      </c>
      <c r="F263" s="39"/>
      <c r="G263" s="39"/>
      <c r="H263" s="40">
        <f t="shared" si="19"/>
        <v>1000000</v>
      </c>
      <c r="I263" s="39"/>
      <c r="J263" s="39"/>
      <c r="K263" s="39"/>
      <c r="L263" s="39"/>
      <c r="M263" s="40">
        <f t="shared" si="111"/>
        <v>0</v>
      </c>
      <c r="N263" s="39">
        <f t="shared" si="112"/>
        <v>0</v>
      </c>
      <c r="O263" s="39">
        <f t="shared" si="113"/>
        <v>0</v>
      </c>
      <c r="P263" s="39">
        <f t="shared" si="114"/>
        <v>0</v>
      </c>
      <c r="Q263" s="39">
        <f t="shared" si="115"/>
        <v>0</v>
      </c>
      <c r="R263" s="39">
        <f t="shared" si="108"/>
        <v>0</v>
      </c>
      <c r="S263" s="40">
        <f t="shared" si="116"/>
        <v>0</v>
      </c>
      <c r="T263" s="39">
        <f t="shared" si="117"/>
        <v>0</v>
      </c>
      <c r="U263" s="40">
        <f t="shared" si="118"/>
        <v>0</v>
      </c>
      <c r="V263" s="40">
        <f t="shared" si="119"/>
        <v>0</v>
      </c>
      <c r="W263" s="40">
        <f t="shared" si="123"/>
        <v>0</v>
      </c>
      <c r="X263" s="76"/>
      <c r="Y263" s="76">
        <v>0</v>
      </c>
      <c r="Z263" s="86">
        <v>1</v>
      </c>
      <c r="AA263" s="86">
        <v>0.25</v>
      </c>
      <c r="AB263" s="86">
        <v>0.25</v>
      </c>
      <c r="AC263" s="86">
        <v>0.25</v>
      </c>
      <c r="AD263" s="86">
        <v>0.25</v>
      </c>
      <c r="AE263" s="76"/>
      <c r="AF263" s="76"/>
      <c r="AG263" s="76"/>
      <c r="AH263" s="76"/>
      <c r="AI263" s="76"/>
      <c r="AJ263" s="76"/>
      <c r="AK263" s="76"/>
      <c r="AL263" s="76"/>
      <c r="AM263" s="76"/>
      <c r="AN263" s="76"/>
      <c r="AO263" s="76"/>
      <c r="AP263" s="76"/>
      <c r="AQ263" s="76"/>
      <c r="AR263" s="76"/>
      <c r="AS263" s="76"/>
      <c r="AT263" s="76"/>
      <c r="AU263" s="76"/>
      <c r="AV263" s="76"/>
      <c r="AW263" s="76"/>
      <c r="AX263" s="76"/>
      <c r="AY263" s="76"/>
      <c r="AZ263" s="76"/>
      <c r="BA263" s="91"/>
      <c r="BB263" s="76"/>
      <c r="BC263" s="76"/>
      <c r="BD263" s="76"/>
    </row>
    <row r="264" spans="1:56" s="12" customFormat="1" ht="24">
      <c r="A264" s="403"/>
      <c r="B264" s="45" t="s">
        <v>308</v>
      </c>
      <c r="C264" s="45"/>
      <c r="D264" s="39"/>
      <c r="E264" s="39"/>
      <c r="F264" s="39"/>
      <c r="G264" s="39"/>
      <c r="H264" s="40">
        <f t="shared" si="19"/>
        <v>0</v>
      </c>
      <c r="I264" s="39"/>
      <c r="J264" s="39"/>
      <c r="K264" s="39"/>
      <c r="L264" s="39"/>
      <c r="M264" s="40">
        <f t="shared" si="111"/>
        <v>0</v>
      </c>
      <c r="N264" s="39">
        <f t="shared" si="112"/>
        <v>0</v>
      </c>
      <c r="O264" s="39">
        <f t="shared" si="113"/>
        <v>0</v>
      </c>
      <c r="P264" s="39">
        <f t="shared" si="114"/>
        <v>0</v>
      </c>
      <c r="Q264" s="39">
        <f t="shared" si="115"/>
        <v>0</v>
      </c>
      <c r="R264" s="39">
        <f t="shared" si="108"/>
        <v>0</v>
      </c>
      <c r="S264" s="40">
        <f t="shared" si="116"/>
        <v>0</v>
      </c>
      <c r="T264" s="39">
        <f t="shared" si="117"/>
        <v>0</v>
      </c>
      <c r="U264" s="40">
        <f t="shared" si="118"/>
        <v>0</v>
      </c>
      <c r="V264" s="40">
        <f t="shared" si="119"/>
        <v>0</v>
      </c>
      <c r="W264" s="40">
        <f t="shared" si="123"/>
        <v>0</v>
      </c>
      <c r="X264" s="76"/>
      <c r="Y264" s="76">
        <v>0</v>
      </c>
      <c r="Z264" s="86">
        <v>1</v>
      </c>
      <c r="AA264" s="86">
        <v>0.25</v>
      </c>
      <c r="AB264" s="86">
        <v>0.25</v>
      </c>
      <c r="AC264" s="86">
        <v>0.25</v>
      </c>
      <c r="AD264" s="86">
        <v>0.25</v>
      </c>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91"/>
      <c r="BB264" s="76"/>
      <c r="BC264" s="76"/>
      <c r="BD264" s="76"/>
    </row>
    <row r="265" spans="1:56" s="12" customFormat="1" ht="15">
      <c r="A265" s="403"/>
      <c r="B265" s="31" t="s">
        <v>342</v>
      </c>
      <c r="C265" s="31"/>
      <c r="D265" s="33">
        <f>SUM(D253:D264)</f>
        <v>5936328</v>
      </c>
      <c r="E265" s="33">
        <f aca="true" t="shared" si="124" ref="E265:W265">SUM(E253:E264)</f>
        <v>15347937</v>
      </c>
      <c r="F265" s="33">
        <f t="shared" si="124"/>
        <v>0</v>
      </c>
      <c r="G265" s="33">
        <f t="shared" si="124"/>
        <v>4300104</v>
      </c>
      <c r="H265" s="33">
        <f t="shared" si="124"/>
        <v>25584369</v>
      </c>
      <c r="I265" s="33">
        <f t="shared" si="124"/>
        <v>11042778.120000001</v>
      </c>
      <c r="J265" s="33">
        <f t="shared" si="124"/>
        <v>12206476</v>
      </c>
      <c r="K265" s="33">
        <f t="shared" si="124"/>
        <v>4472108</v>
      </c>
      <c r="L265" s="33">
        <f t="shared" si="124"/>
        <v>1000000</v>
      </c>
      <c r="M265" s="33">
        <f>I265+J265+K265+L265</f>
        <v>28721362.12</v>
      </c>
      <c r="N265" s="33">
        <f t="shared" si="124"/>
        <v>11484489.244800001</v>
      </c>
      <c r="O265" s="33">
        <f t="shared" si="124"/>
        <v>12694735.04</v>
      </c>
      <c r="P265" s="33">
        <f t="shared" si="124"/>
        <v>4650992.32</v>
      </c>
      <c r="Q265" s="33">
        <f t="shared" si="124"/>
        <v>0</v>
      </c>
      <c r="R265" s="33">
        <f t="shared" si="124"/>
        <v>28830216.604799997</v>
      </c>
      <c r="S265" s="33">
        <f t="shared" si="124"/>
        <v>11943868.814592</v>
      </c>
      <c r="T265" s="33">
        <f t="shared" si="124"/>
        <v>13202524.4416</v>
      </c>
      <c r="U265" s="33">
        <f t="shared" si="124"/>
        <v>4837032.012800001</v>
      </c>
      <c r="V265" s="33">
        <f t="shared" si="124"/>
        <v>0</v>
      </c>
      <c r="W265" s="33">
        <f t="shared" si="124"/>
        <v>29983425.268992</v>
      </c>
      <c r="X265" s="76"/>
      <c r="Y265" s="76"/>
      <c r="Z265" s="76"/>
      <c r="AA265" s="76"/>
      <c r="AB265" s="76"/>
      <c r="AC265" s="76"/>
      <c r="AD265" s="76"/>
      <c r="AE265" s="76"/>
      <c r="AF265" s="76"/>
      <c r="AG265" s="76"/>
      <c r="AH265" s="76"/>
      <c r="AI265" s="76"/>
      <c r="AJ265" s="76"/>
      <c r="AK265" s="76"/>
      <c r="AL265" s="76"/>
      <c r="AM265" s="76"/>
      <c r="AN265" s="76"/>
      <c r="AO265" s="76"/>
      <c r="AP265" s="76"/>
      <c r="AQ265" s="76"/>
      <c r="AR265" s="76"/>
      <c r="AS265" s="76"/>
      <c r="AT265" s="76"/>
      <c r="AU265" s="76"/>
      <c r="AV265" s="76"/>
      <c r="AW265" s="76"/>
      <c r="AX265" s="76"/>
      <c r="AY265" s="76"/>
      <c r="AZ265" s="76"/>
      <c r="BA265" s="76"/>
      <c r="BB265" s="76"/>
      <c r="BC265" s="76"/>
      <c r="BD265" s="76"/>
    </row>
    <row r="266" spans="1:56" s="12" customFormat="1" ht="15">
      <c r="A266" s="393" t="s">
        <v>309</v>
      </c>
      <c r="B266" s="393"/>
      <c r="C266" s="103"/>
      <c r="D266" s="51">
        <f>SUM(D267:D271)</f>
        <v>0</v>
      </c>
      <c r="E266" s="51">
        <v>2500000</v>
      </c>
      <c r="F266" s="51">
        <f>SUM(F267:F271)</f>
        <v>0</v>
      </c>
      <c r="G266" s="51">
        <f>SUM(G267:G271)</f>
        <v>0</v>
      </c>
      <c r="H266" s="51">
        <v>2500000</v>
      </c>
      <c r="I266" s="53">
        <v>700000</v>
      </c>
      <c r="J266" s="53"/>
      <c r="K266" s="53"/>
      <c r="L266" s="53"/>
      <c r="M266" s="51">
        <v>700000</v>
      </c>
      <c r="N266" s="53">
        <v>208000</v>
      </c>
      <c r="O266" s="53"/>
      <c r="P266" s="53"/>
      <c r="Q266" s="53"/>
      <c r="R266" s="53">
        <v>208000</v>
      </c>
      <c r="S266" s="51">
        <f>SUM(S267:S271)</f>
        <v>216320</v>
      </c>
      <c r="T266" s="51">
        <f>SUM(T267:T271)</f>
        <v>0</v>
      </c>
      <c r="U266" s="51">
        <f>SUM(U267:U271)</f>
        <v>0</v>
      </c>
      <c r="V266" s="51">
        <f>SUM(V267:V271)</f>
        <v>0</v>
      </c>
      <c r="W266" s="51">
        <f>SUM(W267:W271)</f>
        <v>216320</v>
      </c>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c r="AX266" s="76"/>
      <c r="AY266" s="76"/>
      <c r="AZ266" s="76"/>
      <c r="BA266" s="76"/>
      <c r="BB266" s="76"/>
      <c r="BC266" s="76"/>
      <c r="BD266" s="76"/>
    </row>
    <row r="267" spans="1:56" s="49" customFormat="1" ht="74.25" customHeight="1">
      <c r="A267" s="403" t="s">
        <v>238</v>
      </c>
      <c r="B267" s="45" t="s">
        <v>310</v>
      </c>
      <c r="C267" s="45"/>
      <c r="D267" s="39">
        <v>0</v>
      </c>
      <c r="E267" s="39"/>
      <c r="F267" s="39"/>
      <c r="G267" s="39"/>
      <c r="H267" s="40">
        <f t="shared" si="19"/>
        <v>0</v>
      </c>
      <c r="I267" s="39">
        <v>500000</v>
      </c>
      <c r="J267" s="39"/>
      <c r="K267" s="39"/>
      <c r="L267" s="39"/>
      <c r="M267" s="39">
        <f>SUM(I267:L267)</f>
        <v>500000</v>
      </c>
      <c r="N267" s="39"/>
      <c r="O267" s="39">
        <f aca="true" t="shared" si="125" ref="O267:Q271">+J267*4%+J267</f>
        <v>0</v>
      </c>
      <c r="P267" s="39">
        <f t="shared" si="125"/>
        <v>0</v>
      </c>
      <c r="Q267" s="39">
        <f t="shared" si="125"/>
        <v>0</v>
      </c>
      <c r="R267" s="39">
        <f t="shared" si="108"/>
        <v>0</v>
      </c>
      <c r="S267" s="39">
        <f t="shared" si="116"/>
        <v>0</v>
      </c>
      <c r="T267" s="39">
        <f t="shared" si="117"/>
        <v>0</v>
      </c>
      <c r="U267" s="39">
        <f t="shared" si="118"/>
        <v>0</v>
      </c>
      <c r="V267" s="39">
        <f t="shared" si="119"/>
        <v>0</v>
      </c>
      <c r="W267" s="39">
        <f t="shared" si="123"/>
        <v>0</v>
      </c>
      <c r="X267" s="75"/>
      <c r="Y267" s="75">
        <v>3</v>
      </c>
      <c r="Z267" s="75">
        <v>33</v>
      </c>
      <c r="AA267" s="75">
        <v>10</v>
      </c>
      <c r="AB267" s="75">
        <v>10</v>
      </c>
      <c r="AC267" s="75">
        <v>10</v>
      </c>
      <c r="AD267" s="75">
        <v>0</v>
      </c>
      <c r="AE267" s="75"/>
      <c r="AF267" s="75"/>
      <c r="AG267" s="75"/>
      <c r="AH267" s="75"/>
      <c r="AI267" s="75"/>
      <c r="AJ267" s="75"/>
      <c r="AK267" s="75"/>
      <c r="AL267" s="75"/>
      <c r="AM267" s="75"/>
      <c r="AN267" s="75"/>
      <c r="AO267" s="75"/>
      <c r="AP267" s="75"/>
      <c r="AQ267" s="75"/>
      <c r="AR267" s="75"/>
      <c r="AS267" s="75"/>
      <c r="AT267" s="75"/>
      <c r="AU267" s="75"/>
      <c r="AV267" s="75"/>
      <c r="AW267" s="75"/>
      <c r="AX267" s="75"/>
      <c r="AY267" s="75"/>
      <c r="AZ267" s="75"/>
      <c r="BA267" s="91"/>
      <c r="BB267" s="75"/>
      <c r="BC267" s="75"/>
      <c r="BD267" s="75"/>
    </row>
    <row r="268" spans="1:56" s="49" customFormat="1" ht="48.75" customHeight="1">
      <c r="A268" s="403"/>
      <c r="B268" s="45" t="s">
        <v>311</v>
      </c>
      <c r="C268" s="45"/>
      <c r="D268" s="39">
        <v>0</v>
      </c>
      <c r="E268" s="39"/>
      <c r="F268" s="39"/>
      <c r="G268" s="39"/>
      <c r="H268" s="40">
        <f t="shared" si="19"/>
        <v>0</v>
      </c>
      <c r="I268" s="39">
        <v>200000</v>
      </c>
      <c r="J268" s="39"/>
      <c r="K268" s="39"/>
      <c r="L268" s="39"/>
      <c r="M268" s="39">
        <f>SUM(I268:L268)</f>
        <v>200000</v>
      </c>
      <c r="N268" s="39">
        <f>+I268*4%+I268</f>
        <v>208000</v>
      </c>
      <c r="O268" s="39">
        <f t="shared" si="125"/>
        <v>0</v>
      </c>
      <c r="P268" s="39">
        <f t="shared" si="125"/>
        <v>0</v>
      </c>
      <c r="Q268" s="39">
        <f t="shared" si="125"/>
        <v>0</v>
      </c>
      <c r="R268" s="39">
        <f t="shared" si="108"/>
        <v>208000</v>
      </c>
      <c r="S268" s="39">
        <f t="shared" si="116"/>
        <v>216320</v>
      </c>
      <c r="T268" s="39">
        <f t="shared" si="117"/>
        <v>0</v>
      </c>
      <c r="U268" s="39">
        <f t="shared" si="118"/>
        <v>0</v>
      </c>
      <c r="V268" s="39">
        <f t="shared" si="119"/>
        <v>0</v>
      </c>
      <c r="W268" s="39">
        <f t="shared" si="123"/>
        <v>216320</v>
      </c>
      <c r="X268" s="75"/>
      <c r="Y268" s="75">
        <v>0</v>
      </c>
      <c r="Z268" s="75">
        <v>10</v>
      </c>
      <c r="AA268" s="75">
        <v>4</v>
      </c>
      <c r="AB268" s="75">
        <v>2</v>
      </c>
      <c r="AC268" s="75">
        <v>2</v>
      </c>
      <c r="AD268" s="75">
        <v>2</v>
      </c>
      <c r="AE268" s="75"/>
      <c r="AF268" s="75"/>
      <c r="AG268" s="75"/>
      <c r="AH268" s="75"/>
      <c r="AI268" s="75"/>
      <c r="AJ268" s="75"/>
      <c r="AK268" s="75"/>
      <c r="AL268" s="75"/>
      <c r="AM268" s="75"/>
      <c r="AN268" s="75"/>
      <c r="AO268" s="75"/>
      <c r="AP268" s="75"/>
      <c r="AQ268" s="75"/>
      <c r="AR268" s="75"/>
      <c r="AS268" s="75"/>
      <c r="AT268" s="75"/>
      <c r="AU268" s="75"/>
      <c r="AV268" s="75"/>
      <c r="AW268" s="75"/>
      <c r="AX268" s="75"/>
      <c r="AY268" s="75"/>
      <c r="AZ268" s="75"/>
      <c r="BA268" s="91"/>
      <c r="BB268" s="75"/>
      <c r="BC268" s="75"/>
      <c r="BD268" s="75"/>
    </row>
    <row r="269" spans="1:56" s="49" customFormat="1" ht="39" customHeight="1">
      <c r="A269" s="403"/>
      <c r="B269" s="45" t="s">
        <v>239</v>
      </c>
      <c r="C269" s="45"/>
      <c r="D269" s="39">
        <v>0</v>
      </c>
      <c r="E269" s="39"/>
      <c r="F269" s="39"/>
      <c r="G269" s="39"/>
      <c r="H269" s="40">
        <f t="shared" si="19"/>
        <v>0</v>
      </c>
      <c r="I269" s="39"/>
      <c r="J269" s="39"/>
      <c r="K269" s="39"/>
      <c r="L269" s="39"/>
      <c r="M269" s="39">
        <f>SUM(I269:L269)</f>
        <v>0</v>
      </c>
      <c r="N269" s="39">
        <f>+I269*4%+I269</f>
        <v>0</v>
      </c>
      <c r="O269" s="39">
        <f t="shared" si="125"/>
        <v>0</v>
      </c>
      <c r="P269" s="39">
        <f t="shared" si="125"/>
        <v>0</v>
      </c>
      <c r="Q269" s="39">
        <f t="shared" si="125"/>
        <v>0</v>
      </c>
      <c r="R269" s="39">
        <f t="shared" si="108"/>
        <v>0</v>
      </c>
      <c r="S269" s="39">
        <f t="shared" si="116"/>
        <v>0</v>
      </c>
      <c r="T269" s="39">
        <f t="shared" si="117"/>
        <v>0</v>
      </c>
      <c r="U269" s="39">
        <f t="shared" si="118"/>
        <v>0</v>
      </c>
      <c r="V269" s="39">
        <f t="shared" si="119"/>
        <v>0</v>
      </c>
      <c r="W269" s="39">
        <f t="shared" si="123"/>
        <v>0</v>
      </c>
      <c r="X269" s="75"/>
      <c r="Y269" s="75">
        <v>0</v>
      </c>
      <c r="Z269" s="75">
        <v>4</v>
      </c>
      <c r="AA269" s="75">
        <v>1</v>
      </c>
      <c r="AB269" s="75">
        <v>1</v>
      </c>
      <c r="AC269" s="75">
        <v>1</v>
      </c>
      <c r="AD269" s="75">
        <v>1</v>
      </c>
      <c r="AE269" s="75"/>
      <c r="AF269" s="75"/>
      <c r="AG269" s="75"/>
      <c r="AH269" s="75"/>
      <c r="AI269" s="75"/>
      <c r="AJ269" s="75"/>
      <c r="AK269" s="75"/>
      <c r="AL269" s="75"/>
      <c r="AM269" s="75"/>
      <c r="AN269" s="75"/>
      <c r="AO269" s="75"/>
      <c r="AP269" s="75"/>
      <c r="AQ269" s="75"/>
      <c r="AR269" s="75"/>
      <c r="AS269" s="75"/>
      <c r="AT269" s="75"/>
      <c r="AU269" s="75"/>
      <c r="AV269" s="75"/>
      <c r="AW269" s="75"/>
      <c r="AX269" s="75"/>
      <c r="AY269" s="75"/>
      <c r="AZ269" s="75"/>
      <c r="BA269" s="91"/>
      <c r="BB269" s="75"/>
      <c r="BC269" s="75"/>
      <c r="BD269" s="75"/>
    </row>
    <row r="270" spans="1:56" s="49" customFormat="1" ht="39" customHeight="1">
      <c r="A270" s="403"/>
      <c r="B270" s="45" t="s">
        <v>240</v>
      </c>
      <c r="C270" s="45"/>
      <c r="D270" s="39">
        <v>0</v>
      </c>
      <c r="E270" s="39">
        <v>2500000</v>
      </c>
      <c r="F270" s="39"/>
      <c r="G270" s="39"/>
      <c r="H270" s="40">
        <f t="shared" si="19"/>
        <v>2500000</v>
      </c>
      <c r="I270" s="39"/>
      <c r="J270" s="39"/>
      <c r="K270" s="39"/>
      <c r="L270" s="39"/>
      <c r="M270" s="39">
        <f>SUM(I270:L270)</f>
        <v>0</v>
      </c>
      <c r="N270" s="39">
        <f>+I270*4%+I270</f>
        <v>0</v>
      </c>
      <c r="O270" s="39">
        <f t="shared" si="125"/>
        <v>0</v>
      </c>
      <c r="P270" s="39">
        <f t="shared" si="125"/>
        <v>0</v>
      </c>
      <c r="Q270" s="39">
        <f t="shared" si="125"/>
        <v>0</v>
      </c>
      <c r="R270" s="39">
        <f t="shared" si="108"/>
        <v>0</v>
      </c>
      <c r="S270" s="39">
        <f t="shared" si="116"/>
        <v>0</v>
      </c>
      <c r="T270" s="39">
        <f t="shared" si="117"/>
        <v>0</v>
      </c>
      <c r="U270" s="39">
        <f t="shared" si="118"/>
        <v>0</v>
      </c>
      <c r="V270" s="39">
        <f t="shared" si="119"/>
        <v>0</v>
      </c>
      <c r="W270" s="39">
        <f t="shared" si="123"/>
        <v>0</v>
      </c>
      <c r="X270" s="75"/>
      <c r="Y270" s="75">
        <v>0</v>
      </c>
      <c r="Z270" s="75">
        <v>4</v>
      </c>
      <c r="AA270" s="75">
        <v>1</v>
      </c>
      <c r="AB270" s="75">
        <v>1</v>
      </c>
      <c r="AC270" s="75">
        <v>1</v>
      </c>
      <c r="AD270" s="75">
        <v>1</v>
      </c>
      <c r="AE270" s="75"/>
      <c r="AF270" s="75"/>
      <c r="AG270" s="75"/>
      <c r="AH270" s="75"/>
      <c r="AI270" s="75"/>
      <c r="AJ270" s="75"/>
      <c r="AK270" s="75"/>
      <c r="AL270" s="75"/>
      <c r="AM270" s="75"/>
      <c r="AN270" s="75"/>
      <c r="AO270" s="75"/>
      <c r="AP270" s="75"/>
      <c r="AQ270" s="75"/>
      <c r="AR270" s="75"/>
      <c r="AS270" s="75"/>
      <c r="AT270" s="75"/>
      <c r="AU270" s="75"/>
      <c r="AV270" s="75"/>
      <c r="AW270" s="75"/>
      <c r="AX270" s="75"/>
      <c r="AY270" s="75"/>
      <c r="AZ270" s="75"/>
      <c r="BA270" s="91"/>
      <c r="BB270" s="75"/>
      <c r="BC270" s="75"/>
      <c r="BD270" s="75"/>
    </row>
    <row r="271" spans="1:56" s="49" customFormat="1" ht="30" customHeight="1">
      <c r="A271" s="403"/>
      <c r="B271" s="45" t="s">
        <v>241</v>
      </c>
      <c r="C271" s="45"/>
      <c r="D271" s="39">
        <v>0</v>
      </c>
      <c r="E271" s="39"/>
      <c r="F271" s="39"/>
      <c r="G271" s="39"/>
      <c r="H271" s="40">
        <f t="shared" si="19"/>
        <v>0</v>
      </c>
      <c r="I271" s="39"/>
      <c r="J271" s="39"/>
      <c r="K271" s="39"/>
      <c r="L271" s="39"/>
      <c r="M271" s="39">
        <f>SUM(I271:L271)</f>
        <v>0</v>
      </c>
      <c r="N271" s="39">
        <f>+I271*4%+I271</f>
        <v>0</v>
      </c>
      <c r="O271" s="39">
        <f t="shared" si="125"/>
        <v>0</v>
      </c>
      <c r="P271" s="39">
        <f t="shared" si="125"/>
        <v>0</v>
      </c>
      <c r="Q271" s="39">
        <f t="shared" si="125"/>
        <v>0</v>
      </c>
      <c r="R271" s="39">
        <f t="shared" si="108"/>
        <v>0</v>
      </c>
      <c r="S271" s="39">
        <f t="shared" si="116"/>
        <v>0</v>
      </c>
      <c r="T271" s="39">
        <f t="shared" si="117"/>
        <v>0</v>
      </c>
      <c r="U271" s="39">
        <f t="shared" si="118"/>
        <v>0</v>
      </c>
      <c r="V271" s="39">
        <f t="shared" si="119"/>
        <v>0</v>
      </c>
      <c r="W271" s="39">
        <f t="shared" si="123"/>
        <v>0</v>
      </c>
      <c r="X271" s="75"/>
      <c r="Y271" s="75">
        <v>0</v>
      </c>
      <c r="Z271" s="75">
        <v>4</v>
      </c>
      <c r="AA271" s="75">
        <v>1</v>
      </c>
      <c r="AB271" s="75">
        <v>1</v>
      </c>
      <c r="AC271" s="75">
        <v>1</v>
      </c>
      <c r="AD271" s="75"/>
      <c r="AE271" s="75"/>
      <c r="AF271" s="75"/>
      <c r="AG271" s="75"/>
      <c r="AH271" s="75"/>
      <c r="AI271" s="75"/>
      <c r="AJ271" s="75"/>
      <c r="AK271" s="75"/>
      <c r="AL271" s="75"/>
      <c r="AM271" s="75"/>
      <c r="AN271" s="75"/>
      <c r="AO271" s="75"/>
      <c r="AP271" s="75"/>
      <c r="AQ271" s="75"/>
      <c r="AR271" s="75"/>
      <c r="AS271" s="75"/>
      <c r="AT271" s="75"/>
      <c r="AU271" s="75"/>
      <c r="AV271" s="75"/>
      <c r="AW271" s="75"/>
      <c r="AX271" s="75"/>
      <c r="AY271" s="75"/>
      <c r="AZ271" s="75"/>
      <c r="BA271" s="91"/>
      <c r="BB271" s="75"/>
      <c r="BC271" s="75"/>
      <c r="BD271" s="75"/>
    </row>
    <row r="272" spans="1:56" s="12" customFormat="1" ht="15">
      <c r="A272" s="403"/>
      <c r="B272" s="31" t="s">
        <v>342</v>
      </c>
      <c r="C272" s="31"/>
      <c r="D272" s="33">
        <f>SUM(D267:D271)</f>
        <v>0</v>
      </c>
      <c r="E272" s="33">
        <f aca="true" t="shared" si="126" ref="E272:W272">SUM(E267:E271)</f>
        <v>2500000</v>
      </c>
      <c r="F272" s="33">
        <f t="shared" si="126"/>
        <v>0</v>
      </c>
      <c r="G272" s="33">
        <f t="shared" si="126"/>
        <v>0</v>
      </c>
      <c r="H272" s="33">
        <f t="shared" si="126"/>
        <v>2500000</v>
      </c>
      <c r="I272" s="33">
        <f t="shared" si="126"/>
        <v>700000</v>
      </c>
      <c r="J272" s="33">
        <f t="shared" si="126"/>
        <v>0</v>
      </c>
      <c r="K272" s="33">
        <f t="shared" si="126"/>
        <v>0</v>
      </c>
      <c r="L272" s="33">
        <f t="shared" si="126"/>
        <v>0</v>
      </c>
      <c r="M272" s="33">
        <f t="shared" si="126"/>
        <v>700000</v>
      </c>
      <c r="N272" s="33">
        <f t="shared" si="126"/>
        <v>208000</v>
      </c>
      <c r="O272" s="33">
        <f t="shared" si="126"/>
        <v>0</v>
      </c>
      <c r="P272" s="33">
        <f t="shared" si="126"/>
        <v>0</v>
      </c>
      <c r="Q272" s="33">
        <f t="shared" si="126"/>
        <v>0</v>
      </c>
      <c r="R272" s="33">
        <f t="shared" si="126"/>
        <v>208000</v>
      </c>
      <c r="S272" s="33">
        <f t="shared" si="126"/>
        <v>216320</v>
      </c>
      <c r="T272" s="33">
        <f t="shared" si="126"/>
        <v>0</v>
      </c>
      <c r="U272" s="33">
        <f t="shared" si="126"/>
        <v>0</v>
      </c>
      <c r="V272" s="33">
        <f t="shared" si="126"/>
        <v>0</v>
      </c>
      <c r="W272" s="33">
        <f t="shared" si="126"/>
        <v>216320</v>
      </c>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c r="AY272" s="76"/>
      <c r="AZ272" s="76"/>
      <c r="BA272" s="76"/>
      <c r="BB272" s="76"/>
      <c r="BC272" s="76"/>
      <c r="BD272" s="76"/>
    </row>
    <row r="273" spans="1:56" s="12" customFormat="1" ht="15">
      <c r="A273" s="393" t="s">
        <v>312</v>
      </c>
      <c r="B273" s="393"/>
      <c r="C273" s="103"/>
      <c r="D273" s="51">
        <v>1000000</v>
      </c>
      <c r="E273" s="51">
        <v>60019619</v>
      </c>
      <c r="F273" s="51"/>
      <c r="G273" s="51">
        <v>49166520</v>
      </c>
      <c r="H273" s="51">
        <f>D273+E273+F273+G273</f>
        <v>110186139</v>
      </c>
      <c r="I273" s="53">
        <v>1040000</v>
      </c>
      <c r="J273" s="53">
        <v>3905585</v>
      </c>
      <c r="K273" s="53"/>
      <c r="L273" s="53">
        <v>55684000</v>
      </c>
      <c r="M273" s="51">
        <f>I273+J273+L273</f>
        <v>60629585</v>
      </c>
      <c r="N273" s="53">
        <v>1081600</v>
      </c>
      <c r="O273" s="53">
        <v>4061808</v>
      </c>
      <c r="P273" s="53"/>
      <c r="Q273" s="53">
        <v>57391360</v>
      </c>
      <c r="R273" s="53">
        <v>62534768</v>
      </c>
      <c r="S273" s="53">
        <v>1124864</v>
      </c>
      <c r="T273" s="53">
        <v>4224281</v>
      </c>
      <c r="U273" s="53"/>
      <c r="V273" s="53">
        <v>59687014</v>
      </c>
      <c r="W273" s="51">
        <f>S273+T273+U273+V273</f>
        <v>65036159</v>
      </c>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c r="AX273" s="76"/>
      <c r="AY273" s="76"/>
      <c r="AZ273" s="76"/>
      <c r="BA273" s="76"/>
      <c r="BB273" s="76"/>
      <c r="BC273" s="76"/>
      <c r="BD273" s="76"/>
    </row>
    <row r="274" spans="1:56" s="49" customFormat="1" ht="48">
      <c r="A274" s="403" t="s">
        <v>242</v>
      </c>
      <c r="B274" s="45" t="s">
        <v>80</v>
      </c>
      <c r="C274" s="45"/>
      <c r="D274" s="39">
        <v>1000000</v>
      </c>
      <c r="E274" s="39">
        <v>1500000</v>
      </c>
      <c r="F274" s="39"/>
      <c r="G274" s="39"/>
      <c r="H274" s="40">
        <f t="shared" si="19"/>
        <v>2500000</v>
      </c>
      <c r="I274" s="39">
        <f>+D274*4%+D274</f>
        <v>1040000</v>
      </c>
      <c r="J274" s="39">
        <v>3905585</v>
      </c>
      <c r="K274" s="39"/>
      <c r="L274" s="39">
        <v>2040000</v>
      </c>
      <c r="M274" s="39">
        <f>SUM(I274:L274)</f>
        <v>6985585</v>
      </c>
      <c r="N274" s="39">
        <f aca="true" t="shared" si="127" ref="N274:Q276">+I274*4%+I274</f>
        <v>1081600</v>
      </c>
      <c r="O274" s="39">
        <f t="shared" si="127"/>
        <v>4061808.4</v>
      </c>
      <c r="P274" s="39">
        <f t="shared" si="127"/>
        <v>0</v>
      </c>
      <c r="Q274" s="39">
        <f t="shared" si="127"/>
        <v>2121600</v>
      </c>
      <c r="R274" s="39">
        <f t="shared" si="108"/>
        <v>7265008.4</v>
      </c>
      <c r="S274" s="39">
        <f aca="true" t="shared" si="128" ref="S274:S293">+N274*4%+N274</f>
        <v>1124864</v>
      </c>
      <c r="T274" s="39">
        <f aca="true" t="shared" si="129" ref="T274:T293">+O274*4%+O274</f>
        <v>4224280.736</v>
      </c>
      <c r="U274" s="39">
        <f aca="true" t="shared" si="130" ref="U274:U293">+P274*4%+P274</f>
        <v>0</v>
      </c>
      <c r="V274" s="39">
        <f aca="true" t="shared" si="131" ref="V274:V293">+Q274*4%+Q274</f>
        <v>2206464</v>
      </c>
      <c r="W274" s="39">
        <f t="shared" si="123"/>
        <v>7555608.736</v>
      </c>
      <c r="X274" s="75"/>
      <c r="Y274" s="75">
        <v>0</v>
      </c>
      <c r="Z274" s="75">
        <v>1</v>
      </c>
      <c r="AA274" s="75">
        <v>0</v>
      </c>
      <c r="AB274" s="75">
        <v>1</v>
      </c>
      <c r="AC274" s="75">
        <v>0</v>
      </c>
      <c r="AD274" s="75">
        <v>0</v>
      </c>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BD274" s="75"/>
    </row>
    <row r="275" spans="1:56" s="49" customFormat="1" ht="36">
      <c r="A275" s="403"/>
      <c r="B275" s="45" t="s">
        <v>245</v>
      </c>
      <c r="C275" s="45"/>
      <c r="D275" s="39">
        <v>0</v>
      </c>
      <c r="E275" s="39">
        <v>13419619</v>
      </c>
      <c r="F275" s="39"/>
      <c r="G275" s="39"/>
      <c r="H275" s="40">
        <f t="shared" si="19"/>
        <v>13419619</v>
      </c>
      <c r="I275" s="39"/>
      <c r="J275" s="39"/>
      <c r="K275" s="39"/>
      <c r="L275" s="39"/>
      <c r="M275" s="39">
        <f>SUM(I275:L275)</f>
        <v>0</v>
      </c>
      <c r="N275" s="39">
        <f t="shared" si="127"/>
        <v>0</v>
      </c>
      <c r="O275" s="39">
        <f t="shared" si="127"/>
        <v>0</v>
      </c>
      <c r="P275" s="39">
        <f t="shared" si="127"/>
        <v>0</v>
      </c>
      <c r="Q275" s="39">
        <f t="shared" si="127"/>
        <v>0</v>
      </c>
      <c r="R275" s="39">
        <f t="shared" si="108"/>
        <v>0</v>
      </c>
      <c r="S275" s="39">
        <f t="shared" si="128"/>
        <v>0</v>
      </c>
      <c r="T275" s="39">
        <f t="shared" si="129"/>
        <v>0</v>
      </c>
      <c r="U275" s="39">
        <f t="shared" si="130"/>
        <v>0</v>
      </c>
      <c r="V275" s="39">
        <f t="shared" si="131"/>
        <v>0</v>
      </c>
      <c r="W275" s="39">
        <f t="shared" si="123"/>
        <v>0</v>
      </c>
      <c r="X275" s="75"/>
      <c r="Y275" s="76">
        <v>0</v>
      </c>
      <c r="Z275" s="86">
        <v>1</v>
      </c>
      <c r="AA275" s="86">
        <v>1</v>
      </c>
      <c r="AB275" s="75">
        <v>0</v>
      </c>
      <c r="AC275" s="75">
        <v>0</v>
      </c>
      <c r="AD275" s="75">
        <v>0</v>
      </c>
      <c r="AE275" s="75"/>
      <c r="AF275" s="75"/>
      <c r="AG275" s="75"/>
      <c r="AH275" s="75"/>
      <c r="AI275" s="75"/>
      <c r="AJ275" s="75"/>
      <c r="AK275" s="75"/>
      <c r="AL275" s="75"/>
      <c r="AM275" s="75"/>
      <c r="AN275" s="75"/>
      <c r="AO275" s="75"/>
      <c r="AP275" s="75"/>
      <c r="AQ275" s="75"/>
      <c r="AR275" s="75"/>
      <c r="AS275" s="75"/>
      <c r="AT275" s="75"/>
      <c r="AU275" s="75"/>
      <c r="AV275" s="75"/>
      <c r="AW275" s="75"/>
      <c r="AX275" s="75"/>
      <c r="AY275" s="75"/>
      <c r="AZ275" s="75"/>
      <c r="BA275" s="91"/>
      <c r="BB275" s="75"/>
      <c r="BC275" s="75"/>
      <c r="BD275" s="75"/>
    </row>
    <row r="276" spans="1:56" s="49" customFormat="1" ht="72">
      <c r="A276" s="403"/>
      <c r="B276" s="45" t="s">
        <v>247</v>
      </c>
      <c r="C276" s="45"/>
      <c r="D276" s="39">
        <v>0</v>
      </c>
      <c r="E276" s="39">
        <v>45100000</v>
      </c>
      <c r="F276" s="39"/>
      <c r="G276" s="39"/>
      <c r="H276" s="40">
        <f t="shared" si="19"/>
        <v>45100000</v>
      </c>
      <c r="I276" s="39"/>
      <c r="J276" s="39"/>
      <c r="K276" s="39"/>
      <c r="L276" s="39">
        <v>46904000</v>
      </c>
      <c r="M276" s="39">
        <f>SUM(I276:L276)</f>
        <v>46904000</v>
      </c>
      <c r="N276" s="39">
        <f t="shared" si="127"/>
        <v>0</v>
      </c>
      <c r="O276" s="39">
        <f t="shared" si="127"/>
        <v>0</v>
      </c>
      <c r="P276" s="39">
        <f t="shared" si="127"/>
        <v>0</v>
      </c>
      <c r="Q276" s="39">
        <f t="shared" si="127"/>
        <v>48780160</v>
      </c>
      <c r="R276" s="39">
        <f t="shared" si="108"/>
        <v>48780160</v>
      </c>
      <c r="S276" s="39">
        <f t="shared" si="128"/>
        <v>0</v>
      </c>
      <c r="T276" s="39">
        <f t="shared" si="129"/>
        <v>0</v>
      </c>
      <c r="U276" s="39">
        <f t="shared" si="130"/>
        <v>0</v>
      </c>
      <c r="V276" s="39">
        <f t="shared" si="131"/>
        <v>50731366.4</v>
      </c>
      <c r="W276" s="39">
        <f t="shared" si="123"/>
        <v>50731366.4</v>
      </c>
      <c r="X276" s="75"/>
      <c r="Y276" s="75">
        <v>0</v>
      </c>
      <c r="Z276" s="86">
        <v>1</v>
      </c>
      <c r="AA276" s="86">
        <v>0.25</v>
      </c>
      <c r="AB276" s="86">
        <v>0.25</v>
      </c>
      <c r="AC276" s="86">
        <v>0.25</v>
      </c>
      <c r="AD276" s="86">
        <v>0.25</v>
      </c>
      <c r="AE276" s="75"/>
      <c r="AF276" s="75"/>
      <c r="AG276" s="75"/>
      <c r="AH276" s="75"/>
      <c r="AI276" s="75"/>
      <c r="AJ276" s="75"/>
      <c r="AK276" s="75"/>
      <c r="AL276" s="75"/>
      <c r="AM276" s="75"/>
      <c r="AN276" s="75"/>
      <c r="AO276" s="75"/>
      <c r="AP276" s="75"/>
      <c r="AQ276" s="75"/>
      <c r="AR276" s="75"/>
      <c r="AS276" s="75"/>
      <c r="AT276" s="75"/>
      <c r="AU276" s="75"/>
      <c r="AV276" s="75"/>
      <c r="AW276" s="75"/>
      <c r="AX276" s="75"/>
      <c r="AY276" s="75"/>
      <c r="AZ276" s="75"/>
      <c r="BA276" s="91"/>
      <c r="BB276" s="75"/>
      <c r="BC276" s="75"/>
      <c r="BD276" s="75"/>
    </row>
    <row r="277" spans="1:56" s="49" customFormat="1" ht="48">
      <c r="A277" s="403"/>
      <c r="B277" s="45" t="s">
        <v>248</v>
      </c>
      <c r="C277" s="45"/>
      <c r="D277" s="39">
        <v>0</v>
      </c>
      <c r="E277" s="39"/>
      <c r="F277" s="39"/>
      <c r="G277" s="39"/>
      <c r="H277" s="40"/>
      <c r="I277" s="39"/>
      <c r="J277" s="39"/>
      <c r="K277" s="39"/>
      <c r="L277" s="39">
        <v>500000</v>
      </c>
      <c r="M277" s="39">
        <f>SUM(I277:L277)</f>
        <v>500000</v>
      </c>
      <c r="N277" s="39"/>
      <c r="O277" s="39"/>
      <c r="P277" s="39"/>
      <c r="Q277" s="39"/>
      <c r="R277" s="39"/>
      <c r="S277" s="39"/>
      <c r="T277" s="39"/>
      <c r="U277" s="39"/>
      <c r="V277" s="39"/>
      <c r="W277" s="39"/>
      <c r="X277" s="75"/>
      <c r="Y277" s="75">
        <v>0</v>
      </c>
      <c r="Z277" s="75">
        <v>5</v>
      </c>
      <c r="AA277" s="75">
        <v>0</v>
      </c>
      <c r="AB277" s="75">
        <v>3</v>
      </c>
      <c r="AC277" s="75">
        <v>2</v>
      </c>
      <c r="AD277" s="75">
        <v>0</v>
      </c>
      <c r="AE277" s="75"/>
      <c r="AF277" s="75"/>
      <c r="AG277" s="75"/>
      <c r="AH277" s="75"/>
      <c r="AI277" s="75"/>
      <c r="AJ277" s="75"/>
      <c r="AK277" s="75"/>
      <c r="AL277" s="75"/>
      <c r="AM277" s="75"/>
      <c r="AN277" s="75"/>
      <c r="AO277" s="75"/>
      <c r="AP277" s="75"/>
      <c r="AQ277" s="75"/>
      <c r="AR277" s="75"/>
      <c r="AS277" s="75"/>
      <c r="AT277" s="75"/>
      <c r="AU277" s="75"/>
      <c r="AV277" s="75"/>
      <c r="AW277" s="75"/>
      <c r="AX277" s="75"/>
      <c r="AY277" s="75"/>
      <c r="AZ277" s="75"/>
      <c r="BA277" s="75"/>
      <c r="BB277" s="75"/>
      <c r="BC277" s="75"/>
      <c r="BD277" s="75"/>
    </row>
    <row r="278" spans="1:56" s="49" customFormat="1" ht="36">
      <c r="A278" s="403"/>
      <c r="B278" s="45" t="s">
        <v>246</v>
      </c>
      <c r="C278" s="45"/>
      <c r="D278" s="39">
        <v>0</v>
      </c>
      <c r="E278" s="39"/>
      <c r="F278" s="39"/>
      <c r="G278" s="39">
        <v>49166520</v>
      </c>
      <c r="H278" s="40">
        <f t="shared" si="19"/>
        <v>49166520</v>
      </c>
      <c r="I278" s="39"/>
      <c r="J278" s="39"/>
      <c r="K278" s="39"/>
      <c r="L278" s="39">
        <f>1040000+3120000+1040000+1040000</f>
        <v>6240000</v>
      </c>
      <c r="M278" s="39">
        <f>SUM(I278:L278)</f>
        <v>6240000</v>
      </c>
      <c r="N278" s="39">
        <f>+I278*4%+I278</f>
        <v>0</v>
      </c>
      <c r="O278" s="39">
        <f>+J278*4%+J278</f>
        <v>0</v>
      </c>
      <c r="P278" s="39">
        <f>+K278*4%+K278</f>
        <v>0</v>
      </c>
      <c r="Q278" s="39">
        <f>+L278*4%+L278</f>
        <v>6489600</v>
      </c>
      <c r="R278" s="39">
        <f t="shared" si="108"/>
        <v>6489600</v>
      </c>
      <c r="S278" s="39">
        <f t="shared" si="128"/>
        <v>0</v>
      </c>
      <c r="T278" s="39">
        <f t="shared" si="129"/>
        <v>0</v>
      </c>
      <c r="U278" s="39">
        <f t="shared" si="130"/>
        <v>0</v>
      </c>
      <c r="V278" s="39">
        <f t="shared" si="131"/>
        <v>6749184</v>
      </c>
      <c r="W278" s="39">
        <f t="shared" si="123"/>
        <v>6749184</v>
      </c>
      <c r="X278" s="75"/>
      <c r="Y278" s="75">
        <v>0</v>
      </c>
      <c r="Z278" s="86">
        <v>1</v>
      </c>
      <c r="AA278" s="86">
        <v>0.25</v>
      </c>
      <c r="AB278" s="86">
        <v>0.25</v>
      </c>
      <c r="AC278" s="86">
        <v>0.25</v>
      </c>
      <c r="AD278" s="86">
        <v>0.25</v>
      </c>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91"/>
      <c r="BB278" s="75"/>
      <c r="BC278" s="75"/>
      <c r="BD278" s="75"/>
    </row>
    <row r="279" spans="1:56" s="12" customFormat="1" ht="15">
      <c r="A279" s="403"/>
      <c r="B279" s="31" t="s">
        <v>342</v>
      </c>
      <c r="C279" s="31"/>
      <c r="D279" s="33">
        <f>SUM(D274:D278)</f>
        <v>1000000</v>
      </c>
      <c r="E279" s="33">
        <f aca="true" t="shared" si="132" ref="E279:W279">SUM(E274:E278)</f>
        <v>60019619</v>
      </c>
      <c r="F279" s="33">
        <f t="shared" si="132"/>
        <v>0</v>
      </c>
      <c r="G279" s="33">
        <f t="shared" si="132"/>
        <v>49166520</v>
      </c>
      <c r="H279" s="33">
        <f t="shared" si="132"/>
        <v>110186139</v>
      </c>
      <c r="I279" s="33">
        <f t="shared" si="132"/>
        <v>1040000</v>
      </c>
      <c r="J279" s="33">
        <f t="shared" si="132"/>
        <v>3905585</v>
      </c>
      <c r="K279" s="33">
        <f t="shared" si="132"/>
        <v>0</v>
      </c>
      <c r="L279" s="33">
        <f t="shared" si="132"/>
        <v>55684000</v>
      </c>
      <c r="M279" s="33">
        <f t="shared" si="132"/>
        <v>60629585</v>
      </c>
      <c r="N279" s="33">
        <f t="shared" si="132"/>
        <v>1081600</v>
      </c>
      <c r="O279" s="33">
        <f t="shared" si="132"/>
        <v>4061808.4</v>
      </c>
      <c r="P279" s="33">
        <f t="shared" si="132"/>
        <v>0</v>
      </c>
      <c r="Q279" s="33">
        <f t="shared" si="132"/>
        <v>57391360</v>
      </c>
      <c r="R279" s="33">
        <f t="shared" si="132"/>
        <v>62534768.4</v>
      </c>
      <c r="S279" s="33">
        <f t="shared" si="132"/>
        <v>1124864</v>
      </c>
      <c r="T279" s="33">
        <f t="shared" si="132"/>
        <v>4224280.736</v>
      </c>
      <c r="U279" s="33">
        <f t="shared" si="132"/>
        <v>0</v>
      </c>
      <c r="V279" s="33">
        <f t="shared" si="132"/>
        <v>59687014.4</v>
      </c>
      <c r="W279" s="33">
        <f t="shared" si="132"/>
        <v>65036159.136</v>
      </c>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6"/>
      <c r="AY279" s="76"/>
      <c r="AZ279" s="76"/>
      <c r="BA279" s="76"/>
      <c r="BB279" s="76"/>
      <c r="BC279" s="76"/>
      <c r="BD279" s="76"/>
    </row>
    <row r="280" spans="1:56" s="12" customFormat="1" ht="15">
      <c r="A280" s="393" t="s">
        <v>73</v>
      </c>
      <c r="B280" s="393"/>
      <c r="C280" s="103"/>
      <c r="D280" s="51"/>
      <c r="E280" s="51">
        <v>240654000</v>
      </c>
      <c r="F280" s="51"/>
      <c r="G280" s="51">
        <v>2646000</v>
      </c>
      <c r="H280" s="51">
        <f>E280+G280</f>
        <v>243300000</v>
      </c>
      <c r="I280" s="53"/>
      <c r="J280" s="53">
        <v>221384000</v>
      </c>
      <c r="K280" s="53"/>
      <c r="L280" s="53"/>
      <c r="M280" s="51">
        <f>I280+J280+K280+L280</f>
        <v>221384000</v>
      </c>
      <c r="N280" s="53">
        <v>10000000</v>
      </c>
      <c r="O280" s="53">
        <v>230239360</v>
      </c>
      <c r="P280" s="53"/>
      <c r="Q280" s="53"/>
      <c r="R280" s="53">
        <v>240239360</v>
      </c>
      <c r="S280" s="53">
        <v>10400000</v>
      </c>
      <c r="T280" s="53">
        <v>239448934</v>
      </c>
      <c r="U280" s="53"/>
      <c r="V280" s="53"/>
      <c r="W280" s="53">
        <v>249848934</v>
      </c>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76"/>
    </row>
    <row r="281" spans="1:56" s="49" customFormat="1" ht="138" customHeight="1">
      <c r="A281" s="403" t="s">
        <v>249</v>
      </c>
      <c r="B281" s="50" t="s">
        <v>313</v>
      </c>
      <c r="C281" s="50"/>
      <c r="D281" s="39">
        <v>0</v>
      </c>
      <c r="E281" s="39">
        <f>105000000+55200000+5454000</f>
        <v>165654000</v>
      </c>
      <c r="F281" s="39"/>
      <c r="G281" s="39">
        <v>2646000</v>
      </c>
      <c r="H281" s="39">
        <f t="shared" si="19"/>
        <v>168300000</v>
      </c>
      <c r="I281" s="39"/>
      <c r="J281" s="39">
        <f>140608000-30000000-224000</f>
        <v>110384000</v>
      </c>
      <c r="K281" s="39"/>
      <c r="L281" s="39"/>
      <c r="M281" s="39">
        <f aca="true" t="shared" si="133" ref="M281:M293">SUM(I281:L281)</f>
        <v>110384000</v>
      </c>
      <c r="N281" s="39">
        <f aca="true" t="shared" si="134" ref="N281:N293">+I281*4%+I281</f>
        <v>0</v>
      </c>
      <c r="O281" s="39">
        <f aca="true" t="shared" si="135" ref="O281:O293">+J281*4%+J281</f>
        <v>114799360</v>
      </c>
      <c r="P281" s="39">
        <f aca="true" t="shared" si="136" ref="P281:P293">+K281*4%+K281</f>
        <v>0</v>
      </c>
      <c r="Q281" s="39">
        <f aca="true" t="shared" si="137" ref="Q281:Q293">+L281*4%+L281</f>
        <v>0</v>
      </c>
      <c r="R281" s="39">
        <f t="shared" si="108"/>
        <v>114799360</v>
      </c>
      <c r="S281" s="39">
        <f t="shared" si="128"/>
        <v>0</v>
      </c>
      <c r="T281" s="39">
        <f t="shared" si="129"/>
        <v>119391334.4</v>
      </c>
      <c r="U281" s="39">
        <f t="shared" si="130"/>
        <v>0</v>
      </c>
      <c r="V281" s="42">
        <f t="shared" si="131"/>
        <v>0</v>
      </c>
      <c r="W281" s="42">
        <f t="shared" si="123"/>
        <v>119391334.4</v>
      </c>
      <c r="X281" s="75"/>
      <c r="Y281" s="75">
        <v>0</v>
      </c>
      <c r="Z281" s="75">
        <v>13</v>
      </c>
      <c r="AA281" s="75">
        <v>6</v>
      </c>
      <c r="AB281" s="75">
        <v>3</v>
      </c>
      <c r="AC281" s="75">
        <v>4</v>
      </c>
      <c r="AD281" s="75">
        <v>0</v>
      </c>
      <c r="AE281" s="75"/>
      <c r="AF281" s="75"/>
      <c r="AG281" s="75"/>
      <c r="AH281" s="75"/>
      <c r="AI281" s="75"/>
      <c r="AJ281" s="75"/>
      <c r="AK281" s="75"/>
      <c r="AL281" s="75"/>
      <c r="AM281" s="75"/>
      <c r="AN281" s="75"/>
      <c r="AO281" s="75"/>
      <c r="AP281" s="75"/>
      <c r="AQ281" s="75"/>
      <c r="AR281" s="75"/>
      <c r="AS281" s="75"/>
      <c r="AT281" s="75"/>
      <c r="AU281" s="75"/>
      <c r="AV281" s="75"/>
      <c r="AW281" s="75"/>
      <c r="AX281" s="75"/>
      <c r="AY281" s="75"/>
      <c r="AZ281" s="75"/>
      <c r="BA281" s="91"/>
      <c r="BB281" s="75"/>
      <c r="BC281" s="75"/>
      <c r="BD281" s="75"/>
    </row>
    <row r="282" spans="1:56" s="49" customFormat="1" ht="43.5" customHeight="1">
      <c r="A282" s="403"/>
      <c r="B282" s="45" t="s">
        <v>250</v>
      </c>
      <c r="C282" s="45"/>
      <c r="D282" s="39">
        <v>0</v>
      </c>
      <c r="E282" s="39"/>
      <c r="F282" s="39"/>
      <c r="G282" s="39"/>
      <c r="H282" s="39">
        <f t="shared" si="19"/>
        <v>0</v>
      </c>
      <c r="I282" s="39"/>
      <c r="J282" s="39">
        <v>8000000</v>
      </c>
      <c r="K282" s="39"/>
      <c r="L282" s="39"/>
      <c r="M282" s="39">
        <f t="shared" si="133"/>
        <v>8000000</v>
      </c>
      <c r="N282" s="39">
        <f t="shared" si="134"/>
        <v>0</v>
      </c>
      <c r="O282" s="39">
        <f t="shared" si="135"/>
        <v>8320000</v>
      </c>
      <c r="P282" s="39">
        <f t="shared" si="136"/>
        <v>0</v>
      </c>
      <c r="Q282" s="39">
        <f t="shared" si="137"/>
        <v>0</v>
      </c>
      <c r="R282" s="39">
        <f t="shared" si="108"/>
        <v>8320000</v>
      </c>
      <c r="S282" s="39">
        <f t="shared" si="128"/>
        <v>0</v>
      </c>
      <c r="T282" s="39">
        <f t="shared" si="129"/>
        <v>8652800</v>
      </c>
      <c r="U282" s="39">
        <f t="shared" si="130"/>
        <v>0</v>
      </c>
      <c r="V282" s="42">
        <f t="shared" si="131"/>
        <v>0</v>
      </c>
      <c r="W282" s="42">
        <f t="shared" si="123"/>
        <v>8652800</v>
      </c>
      <c r="X282" s="75"/>
      <c r="Y282" s="75">
        <v>0</v>
      </c>
      <c r="Z282" s="75">
        <v>4</v>
      </c>
      <c r="AA282" s="75">
        <v>1</v>
      </c>
      <c r="AB282" s="75">
        <v>1</v>
      </c>
      <c r="AC282" s="75">
        <v>1</v>
      </c>
      <c r="AD282" s="75">
        <v>1</v>
      </c>
      <c r="AE282" s="75"/>
      <c r="AF282" s="75"/>
      <c r="AG282" s="75"/>
      <c r="AH282" s="75"/>
      <c r="AI282" s="75"/>
      <c r="AJ282" s="75"/>
      <c r="AK282" s="75"/>
      <c r="AL282" s="75"/>
      <c r="AM282" s="75"/>
      <c r="AN282" s="75"/>
      <c r="AO282" s="75"/>
      <c r="AP282" s="75"/>
      <c r="AQ282" s="75"/>
      <c r="AR282" s="75"/>
      <c r="AS282" s="75"/>
      <c r="AT282" s="75"/>
      <c r="AU282" s="75"/>
      <c r="AV282" s="75"/>
      <c r="AW282" s="75"/>
      <c r="AX282" s="75"/>
      <c r="AY282" s="75"/>
      <c r="AZ282" s="75"/>
      <c r="BA282" s="91"/>
      <c r="BB282" s="75"/>
      <c r="BC282" s="75"/>
      <c r="BD282" s="75"/>
    </row>
    <row r="283" spans="1:56" s="49" customFormat="1" ht="48">
      <c r="A283" s="403"/>
      <c r="B283" s="45" t="s">
        <v>251</v>
      </c>
      <c r="C283" s="45"/>
      <c r="D283" s="39">
        <v>0</v>
      </c>
      <c r="E283" s="39"/>
      <c r="F283" s="39"/>
      <c r="G283" s="39"/>
      <c r="H283" s="39">
        <f t="shared" si="19"/>
        <v>0</v>
      </c>
      <c r="I283" s="39"/>
      <c r="J283" s="39">
        <v>8000000</v>
      </c>
      <c r="K283" s="39"/>
      <c r="L283" s="39"/>
      <c r="M283" s="39">
        <f t="shared" si="133"/>
        <v>8000000</v>
      </c>
      <c r="N283" s="39">
        <f t="shared" si="134"/>
        <v>0</v>
      </c>
      <c r="O283" s="39">
        <f t="shared" si="135"/>
        <v>8320000</v>
      </c>
      <c r="P283" s="39">
        <f t="shared" si="136"/>
        <v>0</v>
      </c>
      <c r="Q283" s="39">
        <f t="shared" si="137"/>
        <v>0</v>
      </c>
      <c r="R283" s="39">
        <f t="shared" si="108"/>
        <v>8320000</v>
      </c>
      <c r="S283" s="39">
        <f t="shared" si="128"/>
        <v>0</v>
      </c>
      <c r="T283" s="39">
        <f t="shared" si="129"/>
        <v>8652800</v>
      </c>
      <c r="U283" s="39">
        <f t="shared" si="130"/>
        <v>0</v>
      </c>
      <c r="V283" s="42">
        <f t="shared" si="131"/>
        <v>0</v>
      </c>
      <c r="W283" s="42">
        <f t="shared" si="123"/>
        <v>8652800</v>
      </c>
      <c r="X283" s="75"/>
      <c r="Y283" s="75">
        <v>0</v>
      </c>
      <c r="Z283" s="75">
        <v>5</v>
      </c>
      <c r="AA283" s="75">
        <v>1</v>
      </c>
      <c r="AB283" s="75">
        <v>3</v>
      </c>
      <c r="AC283" s="75">
        <v>1</v>
      </c>
      <c r="AD283" s="75">
        <v>0</v>
      </c>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c r="BA283" s="91"/>
      <c r="BB283" s="75"/>
      <c r="BC283" s="75"/>
      <c r="BD283" s="75"/>
    </row>
    <row r="284" spans="1:56" s="49" customFormat="1" ht="47.25" customHeight="1">
      <c r="A284" s="403"/>
      <c r="B284" s="45" t="s">
        <v>81</v>
      </c>
      <c r="C284" s="45"/>
      <c r="D284" s="39">
        <v>0</v>
      </c>
      <c r="E284" s="39">
        <v>30000000</v>
      </c>
      <c r="F284" s="39"/>
      <c r="G284" s="39"/>
      <c r="H284" s="39">
        <f t="shared" si="19"/>
        <v>30000000</v>
      </c>
      <c r="I284" s="39"/>
      <c r="J284" s="39">
        <v>32000000</v>
      </c>
      <c r="K284" s="39"/>
      <c r="L284" s="39"/>
      <c r="M284" s="39">
        <f t="shared" si="133"/>
        <v>32000000</v>
      </c>
      <c r="N284" s="39">
        <f t="shared" si="134"/>
        <v>0</v>
      </c>
      <c r="O284" s="39">
        <f t="shared" si="135"/>
        <v>33280000</v>
      </c>
      <c r="P284" s="39">
        <f t="shared" si="136"/>
        <v>0</v>
      </c>
      <c r="Q284" s="39">
        <f t="shared" si="137"/>
        <v>0</v>
      </c>
      <c r="R284" s="39">
        <f t="shared" si="108"/>
        <v>33280000</v>
      </c>
      <c r="S284" s="39">
        <f t="shared" si="128"/>
        <v>0</v>
      </c>
      <c r="T284" s="39">
        <f t="shared" si="129"/>
        <v>34611200</v>
      </c>
      <c r="U284" s="39">
        <f t="shared" si="130"/>
        <v>0</v>
      </c>
      <c r="V284" s="42">
        <f t="shared" si="131"/>
        <v>0</v>
      </c>
      <c r="W284" s="42">
        <f t="shared" si="123"/>
        <v>34611200</v>
      </c>
      <c r="X284" s="75"/>
      <c r="Y284" s="75">
        <v>0</v>
      </c>
      <c r="Z284" s="86">
        <v>1</v>
      </c>
      <c r="AA284" s="86">
        <v>0.25</v>
      </c>
      <c r="AB284" s="86">
        <v>0.25</v>
      </c>
      <c r="AC284" s="86">
        <v>0.25</v>
      </c>
      <c r="AD284" s="86">
        <v>0.25</v>
      </c>
      <c r="AE284" s="75"/>
      <c r="AF284" s="75"/>
      <c r="AG284" s="75"/>
      <c r="AH284" s="75"/>
      <c r="AI284" s="75"/>
      <c r="AJ284" s="75"/>
      <c r="AK284" s="75"/>
      <c r="AL284" s="75"/>
      <c r="AM284" s="75"/>
      <c r="AN284" s="75"/>
      <c r="AO284" s="75"/>
      <c r="AP284" s="75"/>
      <c r="AQ284" s="75"/>
      <c r="AR284" s="75"/>
      <c r="AS284" s="75"/>
      <c r="AT284" s="75"/>
      <c r="AU284" s="75"/>
      <c r="AV284" s="75"/>
      <c r="AW284" s="75"/>
      <c r="AX284" s="75"/>
      <c r="AY284" s="75"/>
      <c r="AZ284" s="75"/>
      <c r="BA284" s="91"/>
      <c r="BB284" s="75"/>
      <c r="BC284" s="75"/>
      <c r="BD284" s="75"/>
    </row>
    <row r="285" spans="1:56" s="49" customFormat="1" ht="23.25" customHeight="1">
      <c r="A285" s="403"/>
      <c r="B285" s="45" t="s">
        <v>252</v>
      </c>
      <c r="C285" s="45"/>
      <c r="D285" s="39">
        <v>0</v>
      </c>
      <c r="E285" s="39"/>
      <c r="F285" s="39"/>
      <c r="G285" s="39"/>
      <c r="H285" s="39">
        <f t="shared" si="19"/>
        <v>0</v>
      </c>
      <c r="I285" s="39"/>
      <c r="J285" s="39">
        <v>20000000</v>
      </c>
      <c r="K285" s="39"/>
      <c r="L285" s="39"/>
      <c r="M285" s="39">
        <f t="shared" si="133"/>
        <v>20000000</v>
      </c>
      <c r="N285" s="39">
        <f t="shared" si="134"/>
        <v>0</v>
      </c>
      <c r="O285" s="39">
        <f t="shared" si="135"/>
        <v>20800000</v>
      </c>
      <c r="P285" s="39">
        <f t="shared" si="136"/>
        <v>0</v>
      </c>
      <c r="Q285" s="39">
        <f t="shared" si="137"/>
        <v>0</v>
      </c>
      <c r="R285" s="39">
        <f t="shared" si="108"/>
        <v>20800000</v>
      </c>
      <c r="S285" s="39">
        <f t="shared" si="128"/>
        <v>0</v>
      </c>
      <c r="T285" s="39">
        <f t="shared" si="129"/>
        <v>21632000</v>
      </c>
      <c r="U285" s="39">
        <f t="shared" si="130"/>
        <v>0</v>
      </c>
      <c r="V285" s="42">
        <f t="shared" si="131"/>
        <v>0</v>
      </c>
      <c r="W285" s="42">
        <f t="shared" si="123"/>
        <v>21632000</v>
      </c>
      <c r="X285" s="75"/>
      <c r="Y285" s="75">
        <v>0</v>
      </c>
      <c r="Z285" s="75">
        <v>8</v>
      </c>
      <c r="AA285" s="75">
        <v>4</v>
      </c>
      <c r="AB285" s="75">
        <v>2</v>
      </c>
      <c r="AC285" s="75">
        <v>2</v>
      </c>
      <c r="AD285" s="75">
        <v>0</v>
      </c>
      <c r="AE285" s="75"/>
      <c r="AF285" s="75"/>
      <c r="AG285" s="75"/>
      <c r="AH285" s="75"/>
      <c r="AI285" s="75"/>
      <c r="AJ285" s="75"/>
      <c r="AK285" s="75"/>
      <c r="AL285" s="75"/>
      <c r="AM285" s="75"/>
      <c r="AN285" s="75"/>
      <c r="AO285" s="75"/>
      <c r="AP285" s="75"/>
      <c r="AQ285" s="75"/>
      <c r="AR285" s="75"/>
      <c r="AS285" s="75"/>
      <c r="AT285" s="75"/>
      <c r="AU285" s="75"/>
      <c r="AV285" s="75"/>
      <c r="AW285" s="75"/>
      <c r="AX285" s="75"/>
      <c r="AY285" s="75"/>
      <c r="AZ285" s="75"/>
      <c r="BA285" s="91"/>
      <c r="BB285" s="75"/>
      <c r="BC285" s="75"/>
      <c r="BD285" s="75"/>
    </row>
    <row r="286" spans="1:56" s="49" customFormat="1" ht="35.25" customHeight="1">
      <c r="A286" s="403"/>
      <c r="B286" s="45" t="s">
        <v>253</v>
      </c>
      <c r="C286" s="45"/>
      <c r="D286" s="39">
        <v>0</v>
      </c>
      <c r="E286" s="39"/>
      <c r="F286" s="39"/>
      <c r="G286" s="39"/>
      <c r="H286" s="39">
        <f t="shared" si="19"/>
        <v>0</v>
      </c>
      <c r="I286" s="39"/>
      <c r="J286" s="39">
        <v>5000000</v>
      </c>
      <c r="K286" s="39"/>
      <c r="L286" s="39"/>
      <c r="M286" s="39">
        <f t="shared" si="133"/>
        <v>5000000</v>
      </c>
      <c r="N286" s="39">
        <f t="shared" si="134"/>
        <v>0</v>
      </c>
      <c r="O286" s="39">
        <f t="shared" si="135"/>
        <v>5200000</v>
      </c>
      <c r="P286" s="39">
        <f t="shared" si="136"/>
        <v>0</v>
      </c>
      <c r="Q286" s="39">
        <f t="shared" si="137"/>
        <v>0</v>
      </c>
      <c r="R286" s="39">
        <f t="shared" si="108"/>
        <v>5200000</v>
      </c>
      <c r="S286" s="39">
        <f t="shared" si="128"/>
        <v>0</v>
      </c>
      <c r="T286" s="39">
        <f t="shared" si="129"/>
        <v>5408000</v>
      </c>
      <c r="U286" s="39">
        <f t="shared" si="130"/>
        <v>0</v>
      </c>
      <c r="V286" s="42">
        <f t="shared" si="131"/>
        <v>0</v>
      </c>
      <c r="W286" s="42">
        <f t="shared" si="123"/>
        <v>5408000</v>
      </c>
      <c r="X286" s="75"/>
      <c r="Y286" s="75">
        <v>0</v>
      </c>
      <c r="Z286" s="86">
        <v>1</v>
      </c>
      <c r="AA286" s="86">
        <v>1</v>
      </c>
      <c r="AB286" s="86">
        <v>0</v>
      </c>
      <c r="AC286" s="86">
        <v>0</v>
      </c>
      <c r="AD286" s="86">
        <v>0</v>
      </c>
      <c r="AE286" s="75"/>
      <c r="AF286" s="75"/>
      <c r="AG286" s="75"/>
      <c r="AH286" s="75"/>
      <c r="AI286" s="75"/>
      <c r="AJ286" s="75"/>
      <c r="AK286" s="75"/>
      <c r="AL286" s="75"/>
      <c r="AM286" s="75"/>
      <c r="AN286" s="75"/>
      <c r="AO286" s="75"/>
      <c r="AP286" s="75"/>
      <c r="AQ286" s="75"/>
      <c r="AR286" s="75"/>
      <c r="AS286" s="75"/>
      <c r="AT286" s="75"/>
      <c r="AU286" s="75"/>
      <c r="AV286" s="75"/>
      <c r="AW286" s="75"/>
      <c r="AX286" s="75"/>
      <c r="AY286" s="75"/>
      <c r="AZ286" s="75"/>
      <c r="BA286" s="91"/>
      <c r="BB286" s="75"/>
      <c r="BC286" s="75"/>
      <c r="BD286" s="75"/>
    </row>
    <row r="287" spans="1:56" s="49" customFormat="1" ht="30" customHeight="1">
      <c r="A287" s="403"/>
      <c r="B287" s="45" t="s">
        <v>254</v>
      </c>
      <c r="C287" s="45"/>
      <c r="D287" s="39">
        <v>0</v>
      </c>
      <c r="E287" s="39">
        <v>10000000</v>
      </c>
      <c r="F287" s="39"/>
      <c r="G287" s="39"/>
      <c r="H287" s="39">
        <f t="shared" si="19"/>
        <v>10000000</v>
      </c>
      <c r="I287" s="39"/>
      <c r="J287" s="39"/>
      <c r="K287" s="39"/>
      <c r="L287" s="39"/>
      <c r="M287" s="39">
        <f t="shared" si="133"/>
        <v>0</v>
      </c>
      <c r="N287" s="39">
        <v>10000000</v>
      </c>
      <c r="O287" s="39">
        <f t="shared" si="135"/>
        <v>0</v>
      </c>
      <c r="P287" s="39">
        <f t="shared" si="136"/>
        <v>0</v>
      </c>
      <c r="Q287" s="39">
        <f t="shared" si="137"/>
        <v>0</v>
      </c>
      <c r="R287" s="39">
        <f t="shared" si="108"/>
        <v>10000000</v>
      </c>
      <c r="S287" s="39">
        <f t="shared" si="128"/>
        <v>10400000</v>
      </c>
      <c r="T287" s="39">
        <f t="shared" si="129"/>
        <v>0</v>
      </c>
      <c r="U287" s="39">
        <f t="shared" si="130"/>
        <v>0</v>
      </c>
      <c r="V287" s="42">
        <f t="shared" si="131"/>
        <v>0</v>
      </c>
      <c r="W287" s="42">
        <f t="shared" si="123"/>
        <v>10400000</v>
      </c>
      <c r="X287" s="75"/>
      <c r="Y287" s="75">
        <v>0</v>
      </c>
      <c r="Z287" s="86">
        <v>1</v>
      </c>
      <c r="AA287" s="86">
        <v>1</v>
      </c>
      <c r="AB287" s="86">
        <v>0</v>
      </c>
      <c r="AC287" s="86">
        <v>0</v>
      </c>
      <c r="AD287" s="86">
        <v>0</v>
      </c>
      <c r="AE287" s="75"/>
      <c r="AF287" s="75"/>
      <c r="AG287" s="75"/>
      <c r="AH287" s="75"/>
      <c r="AI287" s="75"/>
      <c r="AJ287" s="75"/>
      <c r="AK287" s="75"/>
      <c r="AL287" s="75"/>
      <c r="AM287" s="75"/>
      <c r="AN287" s="75"/>
      <c r="AO287" s="75"/>
      <c r="AP287" s="75"/>
      <c r="AQ287" s="75"/>
      <c r="AR287" s="75"/>
      <c r="AS287" s="75"/>
      <c r="AT287" s="75"/>
      <c r="AU287" s="75"/>
      <c r="AV287" s="75"/>
      <c r="AW287" s="75"/>
      <c r="AX287" s="75"/>
      <c r="AY287" s="75"/>
      <c r="AZ287" s="75"/>
      <c r="BA287" s="91"/>
      <c r="BB287" s="75"/>
      <c r="BC287" s="75"/>
      <c r="BD287" s="75"/>
    </row>
    <row r="288" spans="1:56" s="49" customFormat="1" ht="36">
      <c r="A288" s="403"/>
      <c r="B288" s="45" t="s">
        <v>82</v>
      </c>
      <c r="C288" s="45"/>
      <c r="D288" s="39">
        <v>0</v>
      </c>
      <c r="E288" s="39">
        <v>15000000</v>
      </c>
      <c r="F288" s="39"/>
      <c r="G288" s="39"/>
      <c r="H288" s="39">
        <f t="shared" si="19"/>
        <v>15000000</v>
      </c>
      <c r="I288" s="39"/>
      <c r="J288" s="39"/>
      <c r="K288" s="39"/>
      <c r="L288" s="39"/>
      <c r="M288" s="39">
        <f t="shared" si="133"/>
        <v>0</v>
      </c>
      <c r="N288" s="39">
        <f t="shared" si="134"/>
        <v>0</v>
      </c>
      <c r="O288" s="39">
        <f t="shared" si="135"/>
        <v>0</v>
      </c>
      <c r="P288" s="39">
        <f t="shared" si="136"/>
        <v>0</v>
      </c>
      <c r="Q288" s="39">
        <f t="shared" si="137"/>
        <v>0</v>
      </c>
      <c r="R288" s="39">
        <f t="shared" si="108"/>
        <v>0</v>
      </c>
      <c r="S288" s="39">
        <f t="shared" si="128"/>
        <v>0</v>
      </c>
      <c r="T288" s="39">
        <f t="shared" si="129"/>
        <v>0</v>
      </c>
      <c r="U288" s="39">
        <f t="shared" si="130"/>
        <v>0</v>
      </c>
      <c r="V288" s="42">
        <f t="shared" si="131"/>
        <v>0</v>
      </c>
      <c r="W288" s="42">
        <f t="shared" si="123"/>
        <v>0</v>
      </c>
      <c r="X288" s="75"/>
      <c r="Y288" s="75">
        <v>0</v>
      </c>
      <c r="Z288" s="86">
        <v>1</v>
      </c>
      <c r="AA288" s="86">
        <v>1</v>
      </c>
      <c r="AB288" s="86">
        <v>0</v>
      </c>
      <c r="AC288" s="86">
        <v>0</v>
      </c>
      <c r="AD288" s="86">
        <v>0</v>
      </c>
      <c r="AE288" s="75"/>
      <c r="AF288" s="75"/>
      <c r="AG288" s="75"/>
      <c r="AH288" s="75"/>
      <c r="AI288" s="75"/>
      <c r="AJ288" s="75"/>
      <c r="AK288" s="75"/>
      <c r="AL288" s="75"/>
      <c r="AM288" s="75"/>
      <c r="AN288" s="75"/>
      <c r="AO288" s="75"/>
      <c r="AP288" s="75"/>
      <c r="AQ288" s="75"/>
      <c r="AR288" s="75"/>
      <c r="AS288" s="75"/>
      <c r="AT288" s="75"/>
      <c r="AU288" s="75"/>
      <c r="AV288" s="75"/>
      <c r="AW288" s="75"/>
      <c r="AX288" s="75"/>
      <c r="AY288" s="75"/>
      <c r="AZ288" s="75"/>
      <c r="BA288" s="91"/>
      <c r="BB288" s="75"/>
      <c r="BC288" s="75"/>
      <c r="BD288" s="75"/>
    </row>
    <row r="289" spans="1:56" s="49" customFormat="1" ht="36.75" customHeight="1">
      <c r="A289" s="403"/>
      <c r="B289" s="45" t="s">
        <v>314</v>
      </c>
      <c r="C289" s="45"/>
      <c r="D289" s="39">
        <v>0</v>
      </c>
      <c r="E289" s="39">
        <v>20000000</v>
      </c>
      <c r="F289" s="39"/>
      <c r="G289" s="39"/>
      <c r="H289" s="39">
        <f t="shared" si="19"/>
        <v>20000000</v>
      </c>
      <c r="I289" s="39"/>
      <c r="J289" s="39"/>
      <c r="K289" s="39"/>
      <c r="L289" s="39"/>
      <c r="M289" s="39">
        <f t="shared" si="133"/>
        <v>0</v>
      </c>
      <c r="N289" s="39">
        <f t="shared" si="134"/>
        <v>0</v>
      </c>
      <c r="O289" s="39">
        <f t="shared" si="135"/>
        <v>0</v>
      </c>
      <c r="P289" s="39">
        <f t="shared" si="136"/>
        <v>0</v>
      </c>
      <c r="Q289" s="39">
        <f t="shared" si="137"/>
        <v>0</v>
      </c>
      <c r="R289" s="39">
        <f t="shared" si="108"/>
        <v>0</v>
      </c>
      <c r="S289" s="39">
        <f t="shared" si="128"/>
        <v>0</v>
      </c>
      <c r="T289" s="39">
        <f t="shared" si="129"/>
        <v>0</v>
      </c>
      <c r="U289" s="39">
        <f t="shared" si="130"/>
        <v>0</v>
      </c>
      <c r="V289" s="42">
        <f t="shared" si="131"/>
        <v>0</v>
      </c>
      <c r="W289" s="42">
        <f t="shared" si="123"/>
        <v>0</v>
      </c>
      <c r="X289" s="75"/>
      <c r="Y289" s="75">
        <v>0</v>
      </c>
      <c r="Z289" s="86">
        <v>1</v>
      </c>
      <c r="AA289" s="86">
        <v>0.25</v>
      </c>
      <c r="AB289" s="86">
        <v>0.75</v>
      </c>
      <c r="AC289" s="86">
        <v>0</v>
      </c>
      <c r="AD289" s="86">
        <v>0</v>
      </c>
      <c r="AE289" s="75"/>
      <c r="AF289" s="75"/>
      <c r="AG289" s="75"/>
      <c r="AH289" s="75"/>
      <c r="AI289" s="75"/>
      <c r="AJ289" s="75"/>
      <c r="AK289" s="75"/>
      <c r="AL289" s="75"/>
      <c r="AM289" s="75"/>
      <c r="AN289" s="75"/>
      <c r="AO289" s="75"/>
      <c r="AP289" s="75"/>
      <c r="AQ289" s="75"/>
      <c r="AR289" s="75"/>
      <c r="AS289" s="75"/>
      <c r="AT289" s="75"/>
      <c r="AU289" s="75"/>
      <c r="AV289" s="75"/>
      <c r="AW289" s="75"/>
      <c r="AX289" s="75"/>
      <c r="AY289" s="75"/>
      <c r="AZ289" s="75"/>
      <c r="BA289" s="91"/>
      <c r="BB289" s="75"/>
      <c r="BC289" s="75"/>
      <c r="BD289" s="75"/>
    </row>
    <row r="290" spans="1:56" s="49" customFormat="1" ht="24">
      <c r="A290" s="403"/>
      <c r="B290" s="45" t="s">
        <v>255</v>
      </c>
      <c r="C290" s="45"/>
      <c r="D290" s="39">
        <v>0</v>
      </c>
      <c r="E290" s="39"/>
      <c r="F290" s="39"/>
      <c r="G290" s="39"/>
      <c r="H290" s="39">
        <f t="shared" si="19"/>
        <v>0</v>
      </c>
      <c r="I290" s="39"/>
      <c r="J290" s="39">
        <v>8000000</v>
      </c>
      <c r="K290" s="39"/>
      <c r="L290" s="39"/>
      <c r="M290" s="39">
        <f t="shared" si="133"/>
        <v>8000000</v>
      </c>
      <c r="N290" s="39">
        <f t="shared" si="134"/>
        <v>0</v>
      </c>
      <c r="O290" s="39">
        <f t="shared" si="135"/>
        <v>8320000</v>
      </c>
      <c r="P290" s="39">
        <f t="shared" si="136"/>
        <v>0</v>
      </c>
      <c r="Q290" s="39">
        <f t="shared" si="137"/>
        <v>0</v>
      </c>
      <c r="R290" s="39">
        <f t="shared" si="108"/>
        <v>8320000</v>
      </c>
      <c r="S290" s="39">
        <f t="shared" si="128"/>
        <v>0</v>
      </c>
      <c r="T290" s="39">
        <f t="shared" si="129"/>
        <v>8652800</v>
      </c>
      <c r="U290" s="39">
        <f t="shared" si="130"/>
        <v>0</v>
      </c>
      <c r="V290" s="42">
        <f t="shared" si="131"/>
        <v>0</v>
      </c>
      <c r="W290" s="42">
        <f t="shared" si="123"/>
        <v>8652800</v>
      </c>
      <c r="X290" s="75"/>
      <c r="Y290" s="75">
        <v>0</v>
      </c>
      <c r="Z290" s="75">
        <v>1</v>
      </c>
      <c r="AA290" s="75">
        <v>0</v>
      </c>
      <c r="AB290" s="75">
        <v>1</v>
      </c>
      <c r="AC290" s="75">
        <v>0</v>
      </c>
      <c r="AD290" s="75">
        <v>0</v>
      </c>
      <c r="AE290" s="75"/>
      <c r="AF290" s="75"/>
      <c r="AG290" s="75"/>
      <c r="AH290" s="75"/>
      <c r="AI290" s="75"/>
      <c r="AJ290" s="75"/>
      <c r="AK290" s="75"/>
      <c r="AL290" s="75"/>
      <c r="AM290" s="75"/>
      <c r="AN290" s="75"/>
      <c r="AO290" s="75"/>
      <c r="AP290" s="75"/>
      <c r="AQ290" s="75"/>
      <c r="AR290" s="75"/>
      <c r="AS290" s="75"/>
      <c r="AT290" s="75"/>
      <c r="AU290" s="75"/>
      <c r="AV290" s="75"/>
      <c r="AW290" s="75"/>
      <c r="AX290" s="75"/>
      <c r="AY290" s="75"/>
      <c r="AZ290" s="75"/>
      <c r="BA290" s="75"/>
      <c r="BB290" s="75"/>
      <c r="BC290" s="75"/>
      <c r="BD290" s="75"/>
    </row>
    <row r="291" spans="1:56" s="49" customFormat="1" ht="24">
      <c r="A291" s="403"/>
      <c r="B291" s="45" t="s">
        <v>256</v>
      </c>
      <c r="C291" s="45"/>
      <c r="D291" s="39">
        <v>0</v>
      </c>
      <c r="E291" s="39"/>
      <c r="F291" s="39"/>
      <c r="G291" s="39"/>
      <c r="H291" s="39">
        <f t="shared" si="19"/>
        <v>0</v>
      </c>
      <c r="I291" s="39"/>
      <c r="J291" s="39">
        <v>10000000</v>
      </c>
      <c r="K291" s="39"/>
      <c r="L291" s="39"/>
      <c r="M291" s="39">
        <f t="shared" si="133"/>
        <v>10000000</v>
      </c>
      <c r="N291" s="39">
        <f t="shared" si="134"/>
        <v>0</v>
      </c>
      <c r="O291" s="39">
        <f t="shared" si="135"/>
        <v>10400000</v>
      </c>
      <c r="P291" s="39">
        <f t="shared" si="136"/>
        <v>0</v>
      </c>
      <c r="Q291" s="39">
        <f t="shared" si="137"/>
        <v>0</v>
      </c>
      <c r="R291" s="39">
        <f t="shared" si="108"/>
        <v>10400000</v>
      </c>
      <c r="S291" s="39">
        <f t="shared" si="128"/>
        <v>0</v>
      </c>
      <c r="T291" s="39">
        <f t="shared" si="129"/>
        <v>10816000</v>
      </c>
      <c r="U291" s="39">
        <f t="shared" si="130"/>
        <v>0</v>
      </c>
      <c r="V291" s="42">
        <f t="shared" si="131"/>
        <v>0</v>
      </c>
      <c r="W291" s="42">
        <f t="shared" si="123"/>
        <v>10816000</v>
      </c>
      <c r="X291" s="75"/>
      <c r="Y291" s="75">
        <v>0</v>
      </c>
      <c r="Z291" s="75">
        <v>1</v>
      </c>
      <c r="AA291" s="75">
        <v>1</v>
      </c>
      <c r="AB291" s="75">
        <v>0</v>
      </c>
      <c r="AC291" s="75">
        <v>0</v>
      </c>
      <c r="AD291" s="75">
        <v>0</v>
      </c>
      <c r="AE291" s="75"/>
      <c r="AF291" s="75"/>
      <c r="AG291" s="75"/>
      <c r="AH291" s="75"/>
      <c r="AI291" s="75"/>
      <c r="AJ291" s="75"/>
      <c r="AK291" s="75"/>
      <c r="AL291" s="75"/>
      <c r="AM291" s="75"/>
      <c r="AN291" s="75"/>
      <c r="AO291" s="75"/>
      <c r="AP291" s="75"/>
      <c r="AQ291" s="75"/>
      <c r="AR291" s="75"/>
      <c r="AS291" s="75"/>
      <c r="AT291" s="75"/>
      <c r="AU291" s="75"/>
      <c r="AV291" s="75"/>
      <c r="AW291" s="75"/>
      <c r="AX291" s="75"/>
      <c r="AY291" s="75"/>
      <c r="AZ291" s="75"/>
      <c r="BA291" s="91"/>
      <c r="BB291" s="75"/>
      <c r="BC291" s="75"/>
      <c r="BD291" s="75"/>
    </row>
    <row r="292" spans="1:56" s="41" customFormat="1" ht="24">
      <c r="A292" s="403"/>
      <c r="B292" s="45" t="s">
        <v>257</v>
      </c>
      <c r="C292" s="45"/>
      <c r="D292" s="39">
        <v>0</v>
      </c>
      <c r="E292" s="39"/>
      <c r="F292" s="39"/>
      <c r="G292" s="39"/>
      <c r="H292" s="39">
        <f t="shared" si="19"/>
        <v>0</v>
      </c>
      <c r="I292" s="39"/>
      <c r="J292" s="39">
        <v>20000000</v>
      </c>
      <c r="K292" s="39"/>
      <c r="L292" s="39"/>
      <c r="M292" s="39">
        <f t="shared" si="133"/>
        <v>20000000</v>
      </c>
      <c r="N292" s="39">
        <f t="shared" si="134"/>
        <v>0</v>
      </c>
      <c r="O292" s="39">
        <f t="shared" si="135"/>
        <v>20800000</v>
      </c>
      <c r="P292" s="39">
        <f t="shared" si="136"/>
        <v>0</v>
      </c>
      <c r="Q292" s="39">
        <f t="shared" si="137"/>
        <v>0</v>
      </c>
      <c r="R292" s="39">
        <f t="shared" si="108"/>
        <v>20800000</v>
      </c>
      <c r="S292" s="39">
        <f t="shared" si="128"/>
        <v>0</v>
      </c>
      <c r="T292" s="39">
        <f t="shared" si="129"/>
        <v>21632000</v>
      </c>
      <c r="U292" s="39">
        <f t="shared" si="130"/>
        <v>0</v>
      </c>
      <c r="V292" s="42">
        <f t="shared" si="131"/>
        <v>0</v>
      </c>
      <c r="W292" s="42">
        <f t="shared" si="123"/>
        <v>21632000</v>
      </c>
      <c r="X292" s="75"/>
      <c r="Y292" s="75">
        <v>0</v>
      </c>
      <c r="Z292" s="75">
        <v>7</v>
      </c>
      <c r="AA292" s="75">
        <v>2</v>
      </c>
      <c r="AB292" s="75">
        <v>2</v>
      </c>
      <c r="AC292" s="75">
        <v>2</v>
      </c>
      <c r="AD292" s="75">
        <v>1</v>
      </c>
      <c r="AE292" s="75"/>
      <c r="AF292" s="75"/>
      <c r="AG292" s="75"/>
      <c r="AH292" s="75"/>
      <c r="AI292" s="75"/>
      <c r="AJ292" s="75"/>
      <c r="AK292" s="75"/>
      <c r="AL292" s="75"/>
      <c r="AM292" s="75"/>
      <c r="AN292" s="75"/>
      <c r="AO292" s="75"/>
      <c r="AP292" s="75"/>
      <c r="AQ292" s="75"/>
      <c r="AR292" s="75"/>
      <c r="AS292" s="75"/>
      <c r="AT292" s="75"/>
      <c r="AU292" s="75"/>
      <c r="AV292" s="75"/>
      <c r="AW292" s="75"/>
      <c r="AX292" s="75"/>
      <c r="AY292" s="75"/>
      <c r="AZ292" s="75"/>
      <c r="BA292" s="91"/>
      <c r="BB292" s="75"/>
      <c r="BC292" s="75"/>
      <c r="BD292" s="75"/>
    </row>
    <row r="293" spans="1:56" s="41" customFormat="1" ht="24">
      <c r="A293" s="403"/>
      <c r="B293" s="45" t="s">
        <v>258</v>
      </c>
      <c r="C293" s="45"/>
      <c r="D293" s="39">
        <v>0</v>
      </c>
      <c r="E293" s="39"/>
      <c r="F293" s="39"/>
      <c r="G293" s="39"/>
      <c r="H293" s="39">
        <f t="shared" si="19"/>
        <v>0</v>
      </c>
      <c r="I293" s="39"/>
      <c r="J293" s="39"/>
      <c r="K293" s="39"/>
      <c r="L293" s="39"/>
      <c r="M293" s="39">
        <f t="shared" si="133"/>
        <v>0</v>
      </c>
      <c r="N293" s="39">
        <f t="shared" si="134"/>
        <v>0</v>
      </c>
      <c r="O293" s="39">
        <f t="shared" si="135"/>
        <v>0</v>
      </c>
      <c r="P293" s="39">
        <f t="shared" si="136"/>
        <v>0</v>
      </c>
      <c r="Q293" s="39">
        <f t="shared" si="137"/>
        <v>0</v>
      </c>
      <c r="R293" s="39">
        <f t="shared" si="108"/>
        <v>0</v>
      </c>
      <c r="S293" s="39">
        <f t="shared" si="128"/>
        <v>0</v>
      </c>
      <c r="T293" s="39">
        <f t="shared" si="129"/>
        <v>0</v>
      </c>
      <c r="U293" s="39">
        <f t="shared" si="130"/>
        <v>0</v>
      </c>
      <c r="V293" s="42">
        <f t="shared" si="131"/>
        <v>0</v>
      </c>
      <c r="W293" s="42">
        <f t="shared" si="123"/>
        <v>0</v>
      </c>
      <c r="X293" s="75"/>
      <c r="Y293" s="75">
        <v>0</v>
      </c>
      <c r="Z293" s="75">
        <v>1</v>
      </c>
      <c r="AA293" s="75">
        <v>0</v>
      </c>
      <c r="AB293" s="75">
        <v>1</v>
      </c>
      <c r="AC293" s="75">
        <v>0</v>
      </c>
      <c r="AD293" s="75">
        <v>0</v>
      </c>
      <c r="AE293" s="75"/>
      <c r="AF293" s="75"/>
      <c r="AG293" s="75"/>
      <c r="AH293" s="75"/>
      <c r="AI293" s="75"/>
      <c r="AJ293" s="75"/>
      <c r="AK293" s="75"/>
      <c r="AL293" s="75"/>
      <c r="AM293" s="75"/>
      <c r="AN293" s="75"/>
      <c r="AO293" s="75"/>
      <c r="AP293" s="75"/>
      <c r="AQ293" s="75"/>
      <c r="AR293" s="75"/>
      <c r="AS293" s="75"/>
      <c r="AT293" s="75"/>
      <c r="AU293" s="75"/>
      <c r="AV293" s="75"/>
      <c r="AW293" s="75"/>
      <c r="AX293" s="75"/>
      <c r="AY293" s="75"/>
      <c r="AZ293" s="75"/>
      <c r="BA293" s="75"/>
      <c r="BB293" s="75"/>
      <c r="BC293" s="75"/>
      <c r="BD293" s="75"/>
    </row>
    <row r="294" spans="1:56" s="41" customFormat="1" ht="48">
      <c r="A294" s="403"/>
      <c r="B294" s="45" t="s">
        <v>259</v>
      </c>
      <c r="C294" s="45"/>
      <c r="D294" s="39"/>
      <c r="E294" s="39"/>
      <c r="F294" s="39"/>
      <c r="G294" s="39"/>
      <c r="H294" s="39"/>
      <c r="I294" s="39"/>
      <c r="J294" s="39"/>
      <c r="K294" s="39"/>
      <c r="L294" s="39"/>
      <c r="M294" s="39"/>
      <c r="N294" s="39"/>
      <c r="O294" s="39"/>
      <c r="P294" s="39"/>
      <c r="Q294" s="39"/>
      <c r="R294" s="39"/>
      <c r="S294" s="39"/>
      <c r="T294" s="39"/>
      <c r="U294" s="39"/>
      <c r="V294" s="42"/>
      <c r="W294" s="42"/>
      <c r="X294" s="75"/>
      <c r="Y294" s="75">
        <v>0</v>
      </c>
      <c r="Z294" s="86">
        <v>1</v>
      </c>
      <c r="AA294" s="86">
        <v>0.25</v>
      </c>
      <c r="AB294" s="86">
        <v>0.75</v>
      </c>
      <c r="AC294" s="86">
        <v>0</v>
      </c>
      <c r="AD294" s="86">
        <v>0</v>
      </c>
      <c r="AE294" s="75"/>
      <c r="AF294" s="75"/>
      <c r="AG294" s="75"/>
      <c r="AH294" s="75"/>
      <c r="AI294" s="75"/>
      <c r="AJ294" s="75"/>
      <c r="AK294" s="75"/>
      <c r="AL294" s="75"/>
      <c r="AM294" s="75"/>
      <c r="AN294" s="75"/>
      <c r="AO294" s="75"/>
      <c r="AP294" s="75"/>
      <c r="AQ294" s="75"/>
      <c r="AR294" s="75"/>
      <c r="AS294" s="75"/>
      <c r="AT294" s="75"/>
      <c r="AU294" s="75"/>
      <c r="AV294" s="75"/>
      <c r="AW294" s="75"/>
      <c r="AX294" s="75"/>
      <c r="AY294" s="75"/>
      <c r="AZ294" s="75"/>
      <c r="BA294" s="91"/>
      <c r="BB294" s="75"/>
      <c r="BC294" s="75"/>
      <c r="BD294" s="75"/>
    </row>
    <row r="295" spans="1:56" ht="15">
      <c r="A295" s="403"/>
      <c r="B295" s="31" t="s">
        <v>342</v>
      </c>
      <c r="C295" s="31"/>
      <c r="D295" s="33">
        <f>SUM(D281:D294)</f>
        <v>0</v>
      </c>
      <c r="E295" s="33">
        <f aca="true" t="shared" si="138" ref="E295:W295">SUM(E281:E294)</f>
        <v>240654000</v>
      </c>
      <c r="F295" s="33">
        <f t="shared" si="138"/>
        <v>0</v>
      </c>
      <c r="G295" s="33">
        <f t="shared" si="138"/>
        <v>2646000</v>
      </c>
      <c r="H295" s="33">
        <f t="shared" si="138"/>
        <v>243300000</v>
      </c>
      <c r="I295" s="33">
        <f t="shared" si="138"/>
        <v>0</v>
      </c>
      <c r="J295" s="33">
        <f t="shared" si="138"/>
        <v>221384000</v>
      </c>
      <c r="K295" s="33">
        <f t="shared" si="138"/>
        <v>0</v>
      </c>
      <c r="L295" s="33">
        <f t="shared" si="138"/>
        <v>0</v>
      </c>
      <c r="M295" s="33">
        <f t="shared" si="138"/>
        <v>221384000</v>
      </c>
      <c r="N295" s="33">
        <f t="shared" si="138"/>
        <v>10000000</v>
      </c>
      <c r="O295" s="33">
        <f t="shared" si="138"/>
        <v>230239360</v>
      </c>
      <c r="P295" s="33">
        <f t="shared" si="138"/>
        <v>0</v>
      </c>
      <c r="Q295" s="33">
        <f t="shared" si="138"/>
        <v>0</v>
      </c>
      <c r="R295" s="33">
        <f>SUM(R281:R294)</f>
        <v>240239360</v>
      </c>
      <c r="S295" s="33">
        <f t="shared" si="138"/>
        <v>10400000</v>
      </c>
      <c r="T295" s="33">
        <f t="shared" si="138"/>
        <v>239448934.4</v>
      </c>
      <c r="U295" s="33">
        <f t="shared" si="138"/>
        <v>0</v>
      </c>
      <c r="V295" s="32">
        <f t="shared" si="138"/>
        <v>0</v>
      </c>
      <c r="W295" s="33">
        <f t="shared" si="138"/>
        <v>249848934.4</v>
      </c>
      <c r="X295" s="74"/>
      <c r="Y295" s="74"/>
      <c r="Z295" s="74"/>
      <c r="AA295" s="74"/>
      <c r="AB295" s="74"/>
      <c r="AC295" s="74"/>
      <c r="AD295" s="74"/>
      <c r="AE295" s="74"/>
      <c r="AF295" s="74"/>
      <c r="AG295" s="74"/>
      <c r="AH295" s="74"/>
      <c r="AI295" s="74"/>
      <c r="AJ295" s="74"/>
      <c r="AK295" s="74"/>
      <c r="AL295" s="74"/>
      <c r="AM295" s="74"/>
      <c r="AN295" s="74"/>
      <c r="AO295" s="74"/>
      <c r="AP295" s="74"/>
      <c r="AQ295" s="74"/>
      <c r="AR295" s="74"/>
      <c r="AS295" s="74"/>
      <c r="AT295" s="74"/>
      <c r="AU295" s="74"/>
      <c r="AV295" s="74"/>
      <c r="AW295" s="74"/>
      <c r="AX295" s="74"/>
      <c r="AY295" s="74"/>
      <c r="AZ295" s="74"/>
      <c r="BA295" s="74"/>
      <c r="BB295" s="74"/>
      <c r="BC295" s="74"/>
      <c r="BD295" s="74"/>
    </row>
    <row r="296" spans="1:56" ht="15">
      <c r="A296" s="393" t="s">
        <v>74</v>
      </c>
      <c r="B296" s="393"/>
      <c r="C296" s="103"/>
      <c r="D296" s="51">
        <v>500000</v>
      </c>
      <c r="E296" s="51">
        <v>0</v>
      </c>
      <c r="F296" s="51"/>
      <c r="G296" s="51"/>
      <c r="H296" s="51">
        <f>D296+E296+F296+G296</f>
        <v>500000</v>
      </c>
      <c r="I296" s="51">
        <v>1500000</v>
      </c>
      <c r="J296" s="51"/>
      <c r="K296" s="51"/>
      <c r="L296" s="51">
        <v>1500000</v>
      </c>
      <c r="M296" s="51">
        <f>I296+J296+K296+L296</f>
        <v>3000000</v>
      </c>
      <c r="N296" s="53">
        <v>1500000</v>
      </c>
      <c r="O296" s="53"/>
      <c r="P296" s="53"/>
      <c r="Q296" s="53"/>
      <c r="R296" s="53">
        <v>1500000</v>
      </c>
      <c r="S296" s="51"/>
      <c r="T296" s="51"/>
      <c r="U296" s="51"/>
      <c r="V296" s="51"/>
      <c r="W296" s="55">
        <f t="shared" si="123"/>
        <v>0</v>
      </c>
      <c r="X296" s="74"/>
      <c r="Y296" s="74"/>
      <c r="Z296" s="74"/>
      <c r="AA296" s="74"/>
      <c r="AB296" s="74"/>
      <c r="AC296" s="74"/>
      <c r="AD296" s="74"/>
      <c r="AE296" s="74"/>
      <c r="AF296" s="74"/>
      <c r="AG296" s="74"/>
      <c r="AH296" s="74"/>
      <c r="AI296" s="74"/>
      <c r="AJ296" s="74"/>
      <c r="AK296" s="74"/>
      <c r="AL296" s="74"/>
      <c r="AM296" s="74"/>
      <c r="AN296" s="74"/>
      <c r="AO296" s="74"/>
      <c r="AP296" s="74"/>
      <c r="AQ296" s="74"/>
      <c r="AR296" s="74"/>
      <c r="AS296" s="74"/>
      <c r="AT296" s="74"/>
      <c r="AU296" s="74"/>
      <c r="AV296" s="74"/>
      <c r="AW296" s="74"/>
      <c r="AX296" s="74"/>
      <c r="AY296" s="74"/>
      <c r="AZ296" s="74"/>
      <c r="BA296" s="74"/>
      <c r="BB296" s="74"/>
      <c r="BC296" s="74"/>
      <c r="BD296" s="74"/>
    </row>
    <row r="297" spans="1:56" s="41" customFormat="1" ht="36">
      <c r="A297" s="403" t="s">
        <v>260</v>
      </c>
      <c r="B297" s="45" t="s">
        <v>315</v>
      </c>
      <c r="C297" s="45"/>
      <c r="D297" s="39"/>
      <c r="E297" s="39"/>
      <c r="F297" s="39"/>
      <c r="G297" s="39"/>
      <c r="H297" s="40">
        <f t="shared" si="19"/>
        <v>0</v>
      </c>
      <c r="I297" s="39"/>
      <c r="J297" s="39"/>
      <c r="K297" s="39"/>
      <c r="L297" s="39"/>
      <c r="M297" s="40">
        <f>SUM(I297:L297)</f>
        <v>0</v>
      </c>
      <c r="N297" s="39"/>
      <c r="O297" s="39"/>
      <c r="P297" s="39"/>
      <c r="Q297" s="39"/>
      <c r="R297" s="39"/>
      <c r="S297" s="39"/>
      <c r="T297" s="39"/>
      <c r="U297" s="39"/>
      <c r="V297" s="42"/>
      <c r="W297" s="40">
        <f t="shared" si="123"/>
        <v>0</v>
      </c>
      <c r="X297" s="75"/>
      <c r="Y297" s="75">
        <v>0</v>
      </c>
      <c r="Z297" s="86">
        <v>1</v>
      </c>
      <c r="AA297" s="86">
        <v>0.25</v>
      </c>
      <c r="AB297" s="86">
        <v>0.25</v>
      </c>
      <c r="AC297" s="86">
        <v>0.25</v>
      </c>
      <c r="AD297" s="86">
        <v>0.25</v>
      </c>
      <c r="AE297" s="75"/>
      <c r="AF297" s="75"/>
      <c r="AG297" s="75"/>
      <c r="AH297" s="75"/>
      <c r="AI297" s="75"/>
      <c r="AJ297" s="75"/>
      <c r="AK297" s="75"/>
      <c r="AL297" s="75"/>
      <c r="AM297" s="75"/>
      <c r="AN297" s="75"/>
      <c r="AO297" s="75"/>
      <c r="AP297" s="75"/>
      <c r="AQ297" s="75"/>
      <c r="AR297" s="75"/>
      <c r="AS297" s="75"/>
      <c r="AT297" s="75"/>
      <c r="AU297" s="75"/>
      <c r="AV297" s="75"/>
      <c r="AW297" s="75"/>
      <c r="AX297" s="75"/>
      <c r="AY297" s="75"/>
      <c r="AZ297" s="75"/>
      <c r="BA297" s="75" t="s">
        <v>380</v>
      </c>
      <c r="BB297" s="75"/>
      <c r="BC297" s="75"/>
      <c r="BD297" s="75"/>
    </row>
    <row r="298" spans="1:56" s="41" customFormat="1" ht="24">
      <c r="A298" s="403"/>
      <c r="B298" s="45" t="s">
        <v>369</v>
      </c>
      <c r="C298" s="45"/>
      <c r="D298" s="39">
        <v>500000</v>
      </c>
      <c r="E298" s="39"/>
      <c r="F298" s="39"/>
      <c r="G298" s="39"/>
      <c r="H298" s="40">
        <f>SUM(D298:G298)</f>
        <v>500000</v>
      </c>
      <c r="I298" s="39">
        <v>500000</v>
      </c>
      <c r="J298" s="39"/>
      <c r="K298" s="39"/>
      <c r="L298" s="39"/>
      <c r="M298" s="39">
        <f aca="true" t="shared" si="139" ref="M298:M306">SUM(I298:L298)</f>
        <v>500000</v>
      </c>
      <c r="N298" s="39">
        <v>500000</v>
      </c>
      <c r="O298" s="39"/>
      <c r="P298" s="39"/>
      <c r="Q298" s="39"/>
      <c r="R298" s="39">
        <f>SUM(N298:Q298)</f>
        <v>500000</v>
      </c>
      <c r="S298" s="39"/>
      <c r="T298" s="39"/>
      <c r="U298" s="39"/>
      <c r="V298" s="42"/>
      <c r="W298" s="40"/>
      <c r="X298" s="75"/>
      <c r="Y298" s="75">
        <v>0</v>
      </c>
      <c r="Z298" s="75">
        <v>4</v>
      </c>
      <c r="AA298" s="75">
        <v>1</v>
      </c>
      <c r="AB298" s="75">
        <v>1</v>
      </c>
      <c r="AC298" s="75">
        <v>1</v>
      </c>
      <c r="AD298" s="75">
        <v>1</v>
      </c>
      <c r="AE298" s="75"/>
      <c r="AF298" s="75"/>
      <c r="AG298" s="75"/>
      <c r="AH298" s="75"/>
      <c r="AI298" s="75"/>
      <c r="AJ298" s="75"/>
      <c r="AK298" s="75"/>
      <c r="AL298" s="75"/>
      <c r="AM298" s="75"/>
      <c r="AN298" s="75"/>
      <c r="AO298" s="75"/>
      <c r="AP298" s="75"/>
      <c r="AQ298" s="75"/>
      <c r="AR298" s="75"/>
      <c r="AS298" s="75"/>
      <c r="AT298" s="75"/>
      <c r="AU298" s="75"/>
      <c r="AV298" s="75"/>
      <c r="AW298" s="75"/>
      <c r="AX298" s="75"/>
      <c r="AY298" s="75"/>
      <c r="AZ298" s="75"/>
      <c r="BA298" s="91"/>
      <c r="BB298" s="75"/>
      <c r="BC298" s="75"/>
      <c r="BD298" s="75"/>
    </row>
    <row r="299" spans="1:56" s="41" customFormat="1" ht="36">
      <c r="A299" s="403"/>
      <c r="B299" s="45" t="s">
        <v>338</v>
      </c>
      <c r="C299" s="45"/>
      <c r="D299" s="39">
        <v>1000000</v>
      </c>
      <c r="E299" s="39"/>
      <c r="F299" s="39"/>
      <c r="G299" s="39"/>
      <c r="H299" s="40">
        <f>D299+E299+F299+G299</f>
        <v>1000000</v>
      </c>
      <c r="I299" s="39">
        <v>1000000</v>
      </c>
      <c r="J299" s="39"/>
      <c r="K299" s="39"/>
      <c r="L299" s="39"/>
      <c r="M299" s="39">
        <f t="shared" si="139"/>
        <v>1000000</v>
      </c>
      <c r="N299" s="39">
        <v>1000000</v>
      </c>
      <c r="O299" s="39"/>
      <c r="P299" s="39"/>
      <c r="Q299" s="39"/>
      <c r="R299" s="39"/>
      <c r="S299" s="39"/>
      <c r="T299" s="39"/>
      <c r="U299" s="39"/>
      <c r="V299" s="42"/>
      <c r="W299" s="40"/>
      <c r="X299" s="75"/>
      <c r="Y299" s="75">
        <v>0</v>
      </c>
      <c r="Z299" s="75">
        <v>1</v>
      </c>
      <c r="AA299" s="86">
        <v>0.25</v>
      </c>
      <c r="AB299" s="86">
        <v>0.25</v>
      </c>
      <c r="AC299" s="86">
        <v>0.25</v>
      </c>
      <c r="AD299" s="86">
        <v>0.25</v>
      </c>
      <c r="AE299" s="75"/>
      <c r="AF299" s="75"/>
      <c r="AG299" s="75"/>
      <c r="AH299" s="75"/>
      <c r="AI299" s="75"/>
      <c r="AJ299" s="75"/>
      <c r="AK299" s="75"/>
      <c r="AL299" s="75"/>
      <c r="AM299" s="75"/>
      <c r="AN299" s="75"/>
      <c r="AO299" s="75"/>
      <c r="AP299" s="75"/>
      <c r="AQ299" s="75"/>
      <c r="AR299" s="75"/>
      <c r="AS299" s="75"/>
      <c r="AT299" s="75"/>
      <c r="AU299" s="75"/>
      <c r="AV299" s="75"/>
      <c r="AW299" s="75"/>
      <c r="AX299" s="75"/>
      <c r="AY299" s="75"/>
      <c r="AZ299" s="75"/>
      <c r="BA299" s="91"/>
      <c r="BB299" s="75"/>
      <c r="BC299" s="75"/>
      <c r="BD299" s="75"/>
    </row>
    <row r="300" spans="1:56" ht="15">
      <c r="A300" s="403"/>
      <c r="B300" s="64" t="s">
        <v>342</v>
      </c>
      <c r="C300" s="64"/>
      <c r="D300" s="37">
        <f>SUM(D297:D299)</f>
        <v>1500000</v>
      </c>
      <c r="E300" s="37">
        <f aca="true" t="shared" si="140" ref="E300:W300">SUM(E297:E299)</f>
        <v>0</v>
      </c>
      <c r="F300" s="37">
        <f t="shared" si="140"/>
        <v>0</v>
      </c>
      <c r="G300" s="37">
        <f t="shared" si="140"/>
        <v>0</v>
      </c>
      <c r="H300" s="37">
        <f t="shared" si="140"/>
        <v>1500000</v>
      </c>
      <c r="I300" s="37">
        <f t="shared" si="140"/>
        <v>1500000</v>
      </c>
      <c r="J300" s="37">
        <f t="shared" si="140"/>
        <v>0</v>
      </c>
      <c r="K300" s="37">
        <f t="shared" si="140"/>
        <v>0</v>
      </c>
      <c r="L300" s="37"/>
      <c r="M300" s="37">
        <f>I300+J300+K300+L300</f>
        <v>1500000</v>
      </c>
      <c r="N300" s="37">
        <f t="shared" si="140"/>
        <v>1500000</v>
      </c>
      <c r="O300" s="37">
        <f t="shared" si="140"/>
        <v>0</v>
      </c>
      <c r="P300" s="37">
        <f t="shared" si="140"/>
        <v>0</v>
      </c>
      <c r="Q300" s="37">
        <f t="shared" si="140"/>
        <v>0</v>
      </c>
      <c r="R300" s="37">
        <f>N300+O300+P300+Q300</f>
        <v>1500000</v>
      </c>
      <c r="S300" s="37">
        <f t="shared" si="140"/>
        <v>0</v>
      </c>
      <c r="T300" s="37">
        <f t="shared" si="140"/>
        <v>0</v>
      </c>
      <c r="U300" s="37">
        <f t="shared" si="140"/>
        <v>0</v>
      </c>
      <c r="V300" s="37">
        <f t="shared" si="140"/>
        <v>0</v>
      </c>
      <c r="W300" s="37">
        <f t="shared" si="140"/>
        <v>0</v>
      </c>
      <c r="X300" s="74"/>
      <c r="Y300" s="74"/>
      <c r="Z300" s="74"/>
      <c r="AA300" s="74"/>
      <c r="AB300" s="74"/>
      <c r="AC300" s="74"/>
      <c r="AD300" s="74"/>
      <c r="AE300" s="74"/>
      <c r="AF300" s="74"/>
      <c r="AG300" s="74"/>
      <c r="AH300" s="74"/>
      <c r="AI300" s="74"/>
      <c r="AJ300" s="74"/>
      <c r="AK300" s="74"/>
      <c r="AL300" s="74"/>
      <c r="AM300" s="74"/>
      <c r="AN300" s="74"/>
      <c r="AO300" s="74"/>
      <c r="AP300" s="74"/>
      <c r="AQ300" s="74"/>
      <c r="AR300" s="74"/>
      <c r="AS300" s="74"/>
      <c r="AT300" s="74"/>
      <c r="AU300" s="74"/>
      <c r="AV300" s="74"/>
      <c r="AW300" s="74"/>
      <c r="AX300" s="74"/>
      <c r="AY300" s="74"/>
      <c r="AZ300" s="74"/>
      <c r="BA300" s="74"/>
      <c r="BB300" s="74"/>
      <c r="BC300" s="74"/>
      <c r="BD300" s="74"/>
    </row>
    <row r="301" spans="1:56" ht="15">
      <c r="A301" s="393" t="s">
        <v>316</v>
      </c>
      <c r="B301" s="393"/>
      <c r="C301" s="103"/>
      <c r="D301" s="51">
        <v>3500000</v>
      </c>
      <c r="E301" s="51">
        <v>2400000</v>
      </c>
      <c r="F301" s="51">
        <v>0</v>
      </c>
      <c r="G301" s="51">
        <v>0</v>
      </c>
      <c r="H301" s="51">
        <f>D301+E301+F301+G301</f>
        <v>5900000</v>
      </c>
      <c r="I301" s="51">
        <v>3560000</v>
      </c>
      <c r="J301" s="51">
        <v>10056000</v>
      </c>
      <c r="K301" s="51">
        <f>SUM(K266:K300)</f>
        <v>0</v>
      </c>
      <c r="L301" s="51">
        <v>0</v>
      </c>
      <c r="M301" s="51">
        <f>I301+J301+K301+L301</f>
        <v>13616000</v>
      </c>
      <c r="N301" s="53">
        <v>3622400</v>
      </c>
      <c r="O301" s="53">
        <v>10458240</v>
      </c>
      <c r="P301" s="53">
        <v>0</v>
      </c>
      <c r="Q301" s="53">
        <v>0</v>
      </c>
      <c r="R301" s="53">
        <v>14080640</v>
      </c>
      <c r="S301" s="53">
        <v>3687296</v>
      </c>
      <c r="T301" s="53">
        <v>10876570</v>
      </c>
      <c r="U301" s="53">
        <v>0</v>
      </c>
      <c r="V301" s="53">
        <v>0</v>
      </c>
      <c r="W301" s="53">
        <v>14563866</v>
      </c>
      <c r="X301" s="74"/>
      <c r="Y301" s="74"/>
      <c r="Z301" s="74"/>
      <c r="AA301" s="74"/>
      <c r="AB301" s="74"/>
      <c r="AC301" s="74"/>
      <c r="AD301" s="74"/>
      <c r="AE301" s="74"/>
      <c r="AF301" s="74"/>
      <c r="AG301" s="74"/>
      <c r="AH301" s="74"/>
      <c r="AI301" s="74"/>
      <c r="AJ301" s="74"/>
      <c r="AK301" s="74"/>
      <c r="AL301" s="74"/>
      <c r="AM301" s="74"/>
      <c r="AN301" s="74"/>
      <c r="AO301" s="74"/>
      <c r="AP301" s="74"/>
      <c r="AQ301" s="74"/>
      <c r="AR301" s="74"/>
      <c r="AS301" s="74"/>
      <c r="AT301" s="74"/>
      <c r="AU301" s="74"/>
      <c r="AV301" s="74"/>
      <c r="AW301" s="74"/>
      <c r="AX301" s="74"/>
      <c r="AY301" s="74"/>
      <c r="AZ301" s="74"/>
      <c r="BA301" s="74"/>
      <c r="BB301" s="74"/>
      <c r="BC301" s="74"/>
      <c r="BD301" s="74"/>
    </row>
    <row r="302" spans="1:56" s="41" customFormat="1" ht="84">
      <c r="A302" s="403" t="s">
        <v>317</v>
      </c>
      <c r="B302" s="50" t="s">
        <v>243</v>
      </c>
      <c r="C302" s="50"/>
      <c r="D302" s="39">
        <v>1000000</v>
      </c>
      <c r="E302" s="39"/>
      <c r="F302" s="39"/>
      <c r="G302" s="39"/>
      <c r="H302" s="40">
        <f>SUM(D302:G302)</f>
        <v>1000000</v>
      </c>
      <c r="I302" s="39">
        <f>+D302*4%+D302</f>
        <v>1040000</v>
      </c>
      <c r="J302" s="39">
        <v>6000000</v>
      </c>
      <c r="K302" s="39"/>
      <c r="L302" s="39"/>
      <c r="M302" s="39">
        <f t="shared" si="139"/>
        <v>7040000</v>
      </c>
      <c r="N302" s="39">
        <f aca="true" t="shared" si="141" ref="N302:Q303">+I302*4%+I302</f>
        <v>1081600</v>
      </c>
      <c r="O302" s="39">
        <f t="shared" si="141"/>
        <v>6240000</v>
      </c>
      <c r="P302" s="39">
        <f t="shared" si="141"/>
        <v>0</v>
      </c>
      <c r="Q302" s="39">
        <f t="shared" si="141"/>
        <v>0</v>
      </c>
      <c r="R302" s="39">
        <f>SUM(N302:Q302)</f>
        <v>7321600</v>
      </c>
      <c r="S302" s="39">
        <f aca="true" t="shared" si="142" ref="S302:V303">+N302*4%+N302</f>
        <v>1124864</v>
      </c>
      <c r="T302" s="39">
        <f t="shared" si="142"/>
        <v>6489600</v>
      </c>
      <c r="U302" s="39">
        <f t="shared" si="142"/>
        <v>0</v>
      </c>
      <c r="V302" s="39">
        <f t="shared" si="142"/>
        <v>0</v>
      </c>
      <c r="W302" s="39">
        <f>SUM(S302:V302)</f>
        <v>7614464</v>
      </c>
      <c r="X302" s="75"/>
      <c r="Y302" s="75">
        <v>0</v>
      </c>
      <c r="Z302" s="75">
        <v>8</v>
      </c>
      <c r="AA302" s="75">
        <v>2</v>
      </c>
      <c r="AB302" s="75">
        <v>2</v>
      </c>
      <c r="AC302" s="75">
        <v>2</v>
      </c>
      <c r="AD302" s="75">
        <v>2</v>
      </c>
      <c r="AE302" s="75"/>
      <c r="AF302" s="75"/>
      <c r="AG302" s="75"/>
      <c r="AH302" s="75"/>
      <c r="AI302" s="75"/>
      <c r="AJ302" s="75"/>
      <c r="AK302" s="75"/>
      <c r="AL302" s="75"/>
      <c r="AM302" s="75"/>
      <c r="AN302" s="75"/>
      <c r="AO302" s="75"/>
      <c r="AP302" s="75"/>
      <c r="AQ302" s="75"/>
      <c r="AR302" s="75"/>
      <c r="AS302" s="75"/>
      <c r="AT302" s="75"/>
      <c r="AU302" s="75"/>
      <c r="AV302" s="75"/>
      <c r="AW302" s="75"/>
      <c r="AX302" s="75"/>
      <c r="AY302" s="75"/>
      <c r="AZ302" s="75"/>
      <c r="BA302" s="91"/>
      <c r="BB302" s="75"/>
      <c r="BC302" s="75"/>
      <c r="BD302" s="75"/>
    </row>
    <row r="303" spans="1:56" s="41" customFormat="1" ht="48">
      <c r="A303" s="403"/>
      <c r="B303" s="45" t="s">
        <v>244</v>
      </c>
      <c r="C303" s="45"/>
      <c r="D303" s="39">
        <v>500000</v>
      </c>
      <c r="E303" s="39">
        <v>2400000</v>
      </c>
      <c r="F303" s="39"/>
      <c r="G303" s="39"/>
      <c r="H303" s="40">
        <f>SUM(D303:G303)</f>
        <v>2900000</v>
      </c>
      <c r="I303" s="39">
        <f>+D303*4%+D303</f>
        <v>520000</v>
      </c>
      <c r="J303" s="39">
        <f>1560000+2496000</f>
        <v>4056000</v>
      </c>
      <c r="K303" s="39"/>
      <c r="L303" s="39"/>
      <c r="M303" s="39">
        <f t="shared" si="139"/>
        <v>4576000</v>
      </c>
      <c r="N303" s="39">
        <f t="shared" si="141"/>
        <v>540800</v>
      </c>
      <c r="O303" s="39">
        <f t="shared" si="141"/>
        <v>4218240</v>
      </c>
      <c r="P303" s="39">
        <f t="shared" si="141"/>
        <v>0</v>
      </c>
      <c r="Q303" s="39">
        <f t="shared" si="141"/>
        <v>0</v>
      </c>
      <c r="R303" s="39">
        <f>SUM(N303:Q303)</f>
        <v>4759040</v>
      </c>
      <c r="S303" s="39">
        <f t="shared" si="142"/>
        <v>562432</v>
      </c>
      <c r="T303" s="39">
        <f t="shared" si="142"/>
        <v>4386969.6</v>
      </c>
      <c r="U303" s="39">
        <f t="shared" si="142"/>
        <v>0</v>
      </c>
      <c r="V303" s="39">
        <f t="shared" si="142"/>
        <v>0</v>
      </c>
      <c r="W303" s="39">
        <f>SUM(S303:V303)</f>
        <v>4949401.6</v>
      </c>
      <c r="X303" s="75"/>
      <c r="Y303" s="75">
        <v>0</v>
      </c>
      <c r="Z303" s="75">
        <v>8</v>
      </c>
      <c r="AA303" s="75">
        <v>2</v>
      </c>
      <c r="AB303" s="75">
        <v>2</v>
      </c>
      <c r="AC303" s="75">
        <v>2</v>
      </c>
      <c r="AD303" s="75">
        <v>2</v>
      </c>
      <c r="AE303" s="75"/>
      <c r="AF303" s="75"/>
      <c r="AG303" s="75"/>
      <c r="AH303" s="75"/>
      <c r="AI303" s="75"/>
      <c r="AJ303" s="75"/>
      <c r="AK303" s="75"/>
      <c r="AL303" s="75"/>
      <c r="AM303" s="75"/>
      <c r="AN303" s="75"/>
      <c r="AO303" s="75"/>
      <c r="AP303" s="75"/>
      <c r="AQ303" s="75"/>
      <c r="AR303" s="75"/>
      <c r="AS303" s="75"/>
      <c r="AT303" s="75"/>
      <c r="AU303" s="75"/>
      <c r="AV303" s="75"/>
      <c r="AW303" s="75"/>
      <c r="AX303" s="75"/>
      <c r="AY303" s="75"/>
      <c r="AZ303" s="75"/>
      <c r="BA303" s="91"/>
      <c r="BB303" s="75"/>
      <c r="BC303" s="75"/>
      <c r="BD303" s="75"/>
    </row>
    <row r="304" spans="1:56" s="41" customFormat="1" ht="43.5" customHeight="1">
      <c r="A304" s="403"/>
      <c r="B304" s="45" t="s">
        <v>339</v>
      </c>
      <c r="C304" s="45"/>
      <c r="D304" s="39"/>
      <c r="E304" s="39"/>
      <c r="F304" s="39"/>
      <c r="G304" s="39"/>
      <c r="H304" s="40">
        <f>SUM(D304:G304)</f>
        <v>0</v>
      </c>
      <c r="I304" s="39"/>
      <c r="J304" s="39"/>
      <c r="K304" s="39"/>
      <c r="L304" s="39"/>
      <c r="M304" s="39">
        <f t="shared" si="139"/>
        <v>0</v>
      </c>
      <c r="N304" s="39"/>
      <c r="O304" s="39"/>
      <c r="P304" s="39"/>
      <c r="Q304" s="39"/>
      <c r="R304" s="39">
        <f>SUM(N304:Q304)</f>
        <v>0</v>
      </c>
      <c r="S304" s="39"/>
      <c r="T304" s="39"/>
      <c r="U304" s="39"/>
      <c r="V304" s="42"/>
      <c r="W304" s="39">
        <f>SUM(S304:V304)</f>
        <v>0</v>
      </c>
      <c r="X304" s="75"/>
      <c r="Y304" s="75">
        <v>0</v>
      </c>
      <c r="Z304" s="75">
        <v>2</v>
      </c>
      <c r="AA304" s="75">
        <v>2</v>
      </c>
      <c r="AB304" s="75">
        <v>0</v>
      </c>
      <c r="AC304" s="75">
        <v>0</v>
      </c>
      <c r="AD304" s="75">
        <v>0</v>
      </c>
      <c r="AE304" s="75"/>
      <c r="AF304" s="75"/>
      <c r="AG304" s="75"/>
      <c r="AH304" s="75"/>
      <c r="AI304" s="75"/>
      <c r="AJ304" s="75"/>
      <c r="AK304" s="75"/>
      <c r="AL304" s="75"/>
      <c r="AM304" s="75"/>
      <c r="AN304" s="75"/>
      <c r="AO304" s="75"/>
      <c r="AP304" s="75"/>
      <c r="AQ304" s="75"/>
      <c r="AR304" s="75"/>
      <c r="AS304" s="75"/>
      <c r="AT304" s="75"/>
      <c r="AU304" s="75"/>
      <c r="AV304" s="75"/>
      <c r="AW304" s="75"/>
      <c r="AX304" s="75"/>
      <c r="AY304" s="75"/>
      <c r="AZ304" s="75"/>
      <c r="BA304" s="75" t="s">
        <v>380</v>
      </c>
      <c r="BB304" s="75"/>
      <c r="BC304" s="75"/>
      <c r="BD304" s="75"/>
    </row>
    <row r="305" spans="1:56" s="41" customFormat="1" ht="24">
      <c r="A305" s="403"/>
      <c r="B305" s="45" t="s">
        <v>340</v>
      </c>
      <c r="C305" s="45"/>
      <c r="D305" s="39">
        <v>1000000</v>
      </c>
      <c r="E305" s="39"/>
      <c r="F305" s="39"/>
      <c r="G305" s="39"/>
      <c r="H305" s="40">
        <f>SUM(D305:G305)</f>
        <v>1000000</v>
      </c>
      <c r="I305" s="39">
        <v>1000000</v>
      </c>
      <c r="J305" s="39"/>
      <c r="K305" s="39"/>
      <c r="L305" s="39"/>
      <c r="M305" s="39">
        <f t="shared" si="139"/>
        <v>1000000</v>
      </c>
      <c r="N305" s="39">
        <v>1000000</v>
      </c>
      <c r="O305" s="39"/>
      <c r="P305" s="39"/>
      <c r="Q305" s="39"/>
      <c r="R305" s="39">
        <f>SUM(N305:Q305)</f>
        <v>1000000</v>
      </c>
      <c r="S305" s="39">
        <v>1000000</v>
      </c>
      <c r="T305" s="39"/>
      <c r="U305" s="39"/>
      <c r="V305" s="42"/>
      <c r="W305" s="39">
        <f>SUM(S305:V305)</f>
        <v>1000000</v>
      </c>
      <c r="X305" s="75"/>
      <c r="Y305" s="75">
        <v>0</v>
      </c>
      <c r="Z305" s="75">
        <v>1</v>
      </c>
      <c r="AA305" s="75">
        <v>0</v>
      </c>
      <c r="AB305" s="75">
        <v>1</v>
      </c>
      <c r="AC305" s="75">
        <v>0</v>
      </c>
      <c r="AD305" s="75">
        <v>0</v>
      </c>
      <c r="AE305" s="75"/>
      <c r="AF305" s="75"/>
      <c r="AG305" s="75"/>
      <c r="AH305" s="75"/>
      <c r="AI305" s="75"/>
      <c r="AJ305" s="75"/>
      <c r="AK305" s="75"/>
      <c r="AL305" s="75"/>
      <c r="AM305" s="75"/>
      <c r="AN305" s="75"/>
      <c r="AO305" s="75"/>
      <c r="AP305" s="75"/>
      <c r="AQ305" s="75"/>
      <c r="AR305" s="75"/>
      <c r="AS305" s="75"/>
      <c r="AT305" s="75"/>
      <c r="AU305" s="75"/>
      <c r="AV305" s="75"/>
      <c r="AW305" s="75"/>
      <c r="AX305" s="75"/>
      <c r="AY305" s="75"/>
      <c r="AZ305" s="75"/>
      <c r="BA305" s="75"/>
      <c r="BB305" s="75"/>
      <c r="BC305" s="75"/>
      <c r="BD305" s="75"/>
    </row>
    <row r="306" spans="1:56" s="41" customFormat="1" ht="60">
      <c r="A306" s="403"/>
      <c r="B306" s="45" t="s">
        <v>341</v>
      </c>
      <c r="C306" s="45"/>
      <c r="D306" s="39">
        <v>1000000</v>
      </c>
      <c r="E306" s="39"/>
      <c r="F306" s="39"/>
      <c r="G306" s="39"/>
      <c r="H306" s="40">
        <f>SUM(D306:G306)</f>
        <v>1000000</v>
      </c>
      <c r="I306" s="39">
        <v>1000000</v>
      </c>
      <c r="J306" s="39"/>
      <c r="K306" s="39"/>
      <c r="L306" s="39"/>
      <c r="M306" s="39">
        <f t="shared" si="139"/>
        <v>1000000</v>
      </c>
      <c r="N306" s="39">
        <v>1000000</v>
      </c>
      <c r="O306" s="39"/>
      <c r="P306" s="39"/>
      <c r="Q306" s="39"/>
      <c r="R306" s="39">
        <f>SUM(N306:Q306)</f>
        <v>1000000</v>
      </c>
      <c r="S306" s="39">
        <v>1000000</v>
      </c>
      <c r="T306" s="39"/>
      <c r="U306" s="39"/>
      <c r="V306" s="42"/>
      <c r="W306" s="39">
        <f>SUM(S306:V306)</f>
        <v>1000000</v>
      </c>
      <c r="X306" s="75"/>
      <c r="Y306" s="75">
        <v>0</v>
      </c>
      <c r="Z306" s="75">
        <v>1</v>
      </c>
      <c r="AA306" s="86">
        <v>0.25</v>
      </c>
      <c r="AB306" s="86">
        <v>0.25</v>
      </c>
      <c r="AC306" s="86">
        <v>0.25</v>
      </c>
      <c r="AD306" s="86">
        <v>0.25</v>
      </c>
      <c r="AE306" s="75"/>
      <c r="AF306" s="75"/>
      <c r="AG306" s="75"/>
      <c r="AH306" s="75"/>
      <c r="AI306" s="75"/>
      <c r="AJ306" s="75"/>
      <c r="AK306" s="75"/>
      <c r="AL306" s="75"/>
      <c r="AM306" s="75"/>
      <c r="AN306" s="75"/>
      <c r="AO306" s="75"/>
      <c r="AP306" s="75"/>
      <c r="AQ306" s="75"/>
      <c r="AR306" s="75"/>
      <c r="AS306" s="75"/>
      <c r="AT306" s="75"/>
      <c r="AU306" s="75"/>
      <c r="AV306" s="75"/>
      <c r="AW306" s="75"/>
      <c r="AX306" s="75"/>
      <c r="AY306" s="75"/>
      <c r="AZ306" s="75"/>
      <c r="BA306" s="75" t="s">
        <v>375</v>
      </c>
      <c r="BB306" s="75"/>
      <c r="BC306" s="75"/>
      <c r="BD306" s="75"/>
    </row>
    <row r="307" spans="1:51" ht="15">
      <c r="A307" s="403"/>
      <c r="B307" s="31" t="s">
        <v>342</v>
      </c>
      <c r="C307" s="31"/>
      <c r="D307" s="35">
        <f>SUM(D302:D306)</f>
        <v>3500000</v>
      </c>
      <c r="E307" s="35">
        <f aca="true" t="shared" si="143" ref="E307:W307">SUM(E302:E306)</f>
        <v>2400000</v>
      </c>
      <c r="F307" s="35">
        <f t="shared" si="143"/>
        <v>0</v>
      </c>
      <c r="G307" s="35">
        <f t="shared" si="143"/>
        <v>0</v>
      </c>
      <c r="H307" s="35">
        <f t="shared" si="143"/>
        <v>5900000</v>
      </c>
      <c r="I307" s="35">
        <f t="shared" si="143"/>
        <v>3560000</v>
      </c>
      <c r="J307" s="35">
        <f t="shared" si="143"/>
        <v>10056000</v>
      </c>
      <c r="K307" s="35">
        <f t="shared" si="143"/>
        <v>0</v>
      </c>
      <c r="L307" s="35">
        <f t="shared" si="143"/>
        <v>0</v>
      </c>
      <c r="M307" s="35">
        <f t="shared" si="143"/>
        <v>13616000</v>
      </c>
      <c r="N307" s="35">
        <f t="shared" si="143"/>
        <v>3622400</v>
      </c>
      <c r="O307" s="35">
        <f t="shared" si="143"/>
        <v>10458240</v>
      </c>
      <c r="P307" s="35">
        <f t="shared" si="143"/>
        <v>0</v>
      </c>
      <c r="Q307" s="35">
        <f t="shared" si="143"/>
        <v>0</v>
      </c>
      <c r="R307" s="35">
        <f t="shared" si="143"/>
        <v>14080640</v>
      </c>
      <c r="S307" s="35">
        <f t="shared" si="143"/>
        <v>3687296</v>
      </c>
      <c r="T307" s="35">
        <f t="shared" si="143"/>
        <v>10876569.6</v>
      </c>
      <c r="U307" s="35">
        <f t="shared" si="143"/>
        <v>0</v>
      </c>
      <c r="V307" s="35">
        <f t="shared" si="143"/>
        <v>0</v>
      </c>
      <c r="W307" s="35">
        <f t="shared" si="143"/>
        <v>14563865.6</v>
      </c>
      <c r="X307" s="74"/>
      <c r="Y307" s="74"/>
      <c r="Z307" s="74"/>
      <c r="AA307" s="74"/>
      <c r="AB307" s="74"/>
      <c r="AC307" s="74"/>
      <c r="AD307" s="74"/>
      <c r="AE307" s="74"/>
      <c r="AF307" s="74"/>
      <c r="AG307" s="74"/>
      <c r="AH307" s="74"/>
      <c r="AI307" s="74"/>
      <c r="AJ307" s="74"/>
      <c r="AK307" s="74"/>
      <c r="AL307" s="74"/>
      <c r="AM307" s="74"/>
      <c r="AN307" s="74"/>
      <c r="AO307" s="74"/>
      <c r="AP307" s="74"/>
      <c r="AQ307" s="74"/>
      <c r="AR307" s="74"/>
      <c r="AS307" s="74"/>
      <c r="AT307" s="74"/>
      <c r="AU307" s="74"/>
      <c r="AV307" s="74"/>
      <c r="AW307" s="74"/>
      <c r="AX307" s="74"/>
      <c r="AY307" s="74"/>
    </row>
    <row r="308" spans="1:51" ht="15">
      <c r="A308" s="94"/>
      <c r="B308" s="95"/>
      <c r="C308" s="95"/>
      <c r="D308" s="96"/>
      <c r="E308" s="96"/>
      <c r="F308" s="96"/>
      <c r="G308" s="96"/>
      <c r="H308" s="96"/>
      <c r="I308" s="96"/>
      <c r="J308" s="96"/>
      <c r="K308" s="96"/>
      <c r="L308" s="96"/>
      <c r="M308" s="96"/>
      <c r="N308" s="96"/>
      <c r="O308" s="96"/>
      <c r="P308" s="96"/>
      <c r="Q308" s="96"/>
      <c r="R308" s="96"/>
      <c r="S308" s="96"/>
      <c r="T308" s="96"/>
      <c r="U308" s="96"/>
      <c r="V308" s="96"/>
      <c r="W308" s="96"/>
      <c r="X308" s="74"/>
      <c r="Y308" s="74"/>
      <c r="Z308" s="74"/>
      <c r="AA308" s="74"/>
      <c r="AB308" s="74"/>
      <c r="AC308" s="74"/>
      <c r="AD308" s="74"/>
      <c r="AE308" s="74"/>
      <c r="AF308" s="74"/>
      <c r="AG308" s="74"/>
      <c r="AH308" s="74"/>
      <c r="AI308" s="74"/>
      <c r="AJ308" s="74"/>
      <c r="AK308" s="74"/>
      <c r="AL308" s="74"/>
      <c r="AM308" s="74"/>
      <c r="AN308" s="74"/>
      <c r="AO308" s="74"/>
      <c r="AP308" s="74"/>
      <c r="AQ308" s="74"/>
      <c r="AR308" s="74"/>
      <c r="AS308" s="74"/>
      <c r="AT308" s="74"/>
      <c r="AU308" s="74"/>
      <c r="AV308" s="74"/>
      <c r="AW308" s="74"/>
      <c r="AX308" s="74"/>
      <c r="AY308" s="74"/>
    </row>
    <row r="309" spans="1:51" ht="15">
      <c r="A309" s="94"/>
      <c r="B309" s="95"/>
      <c r="C309" s="95"/>
      <c r="D309" s="96"/>
      <c r="E309" s="96"/>
      <c r="F309" s="96"/>
      <c r="G309" s="96"/>
      <c r="H309" s="96"/>
      <c r="I309" s="96"/>
      <c r="J309" s="96"/>
      <c r="K309" s="96"/>
      <c r="L309" s="96"/>
      <c r="M309" s="96"/>
      <c r="N309" s="96"/>
      <c r="O309" s="96"/>
      <c r="P309" s="96"/>
      <c r="Q309" s="96"/>
      <c r="R309" s="96"/>
      <c r="S309" s="96"/>
      <c r="T309" s="96"/>
      <c r="U309" s="96"/>
      <c r="V309" s="96"/>
      <c r="W309" s="96"/>
      <c r="X309" s="74"/>
      <c r="Y309" s="74"/>
      <c r="Z309" s="74"/>
      <c r="AA309" s="74"/>
      <c r="AB309" s="74"/>
      <c r="AC309" s="74"/>
      <c r="AD309" s="74"/>
      <c r="AE309" s="74"/>
      <c r="AF309" s="74"/>
      <c r="AG309" s="74"/>
      <c r="AH309" s="74"/>
      <c r="AI309" s="74"/>
      <c r="AJ309" s="74"/>
      <c r="AK309" s="74"/>
      <c r="AL309" s="74"/>
      <c r="AM309" s="74"/>
      <c r="AN309" s="74"/>
      <c r="AO309" s="74"/>
      <c r="AP309" s="74"/>
      <c r="AQ309" s="74"/>
      <c r="AR309" s="74"/>
      <c r="AS309" s="74"/>
      <c r="AT309" s="74"/>
      <c r="AU309" s="74"/>
      <c r="AV309" s="74"/>
      <c r="AW309" s="74"/>
      <c r="AX309" s="74"/>
      <c r="AY309" s="74"/>
    </row>
    <row r="310" spans="1:51" ht="15">
      <c r="A310" s="94"/>
      <c r="B310" s="95"/>
      <c r="C310" s="95"/>
      <c r="D310" s="96"/>
      <c r="E310" s="96"/>
      <c r="F310" s="96"/>
      <c r="G310" s="96"/>
      <c r="H310" s="96"/>
      <c r="I310" s="96"/>
      <c r="J310" s="96"/>
      <c r="K310" s="96"/>
      <c r="L310" s="96"/>
      <c r="M310" s="96"/>
      <c r="N310" s="96"/>
      <c r="O310" s="96"/>
      <c r="P310" s="96"/>
      <c r="Q310" s="96"/>
      <c r="R310" s="96"/>
      <c r="S310" s="96"/>
      <c r="T310" s="96"/>
      <c r="U310" s="96"/>
      <c r="V310" s="96"/>
      <c r="W310" s="96"/>
      <c r="X310" s="74"/>
      <c r="Y310" s="74"/>
      <c r="Z310" s="74"/>
      <c r="AA310" s="74"/>
      <c r="AB310" s="74"/>
      <c r="AC310" s="74"/>
      <c r="AD310" s="74"/>
      <c r="AE310" s="74"/>
      <c r="AF310" s="74"/>
      <c r="AG310" s="74"/>
      <c r="AH310" s="74"/>
      <c r="AI310" s="74"/>
      <c r="AJ310" s="74"/>
      <c r="AK310" s="74"/>
      <c r="AL310" s="74"/>
      <c r="AM310" s="74"/>
      <c r="AN310" s="74"/>
      <c r="AO310" s="74"/>
      <c r="AP310" s="74"/>
      <c r="AQ310" s="74"/>
      <c r="AR310" s="74"/>
      <c r="AS310" s="74"/>
      <c r="AT310" s="74"/>
      <c r="AU310" s="74"/>
      <c r="AV310" s="74"/>
      <c r="AW310" s="74"/>
      <c r="AX310" s="74"/>
      <c r="AY310" s="74"/>
    </row>
    <row r="311" spans="1:51" ht="15">
      <c r="A311" s="94"/>
      <c r="B311" s="95"/>
      <c r="C311" s="95"/>
      <c r="D311" s="96"/>
      <c r="E311" s="96"/>
      <c r="F311" s="96"/>
      <c r="G311" s="96"/>
      <c r="H311" s="96"/>
      <c r="I311" s="96"/>
      <c r="J311" s="96"/>
      <c r="K311" s="96"/>
      <c r="L311" s="96"/>
      <c r="M311" s="96"/>
      <c r="N311" s="96"/>
      <c r="O311" s="96"/>
      <c r="P311" s="96"/>
      <c r="Q311" s="96"/>
      <c r="R311" s="96"/>
      <c r="S311" s="96"/>
      <c r="T311" s="96"/>
      <c r="U311" s="96"/>
      <c r="V311" s="96"/>
      <c r="W311" s="96"/>
      <c r="X311" s="74"/>
      <c r="Y311" s="74"/>
      <c r="Z311" s="74"/>
      <c r="AA311" s="74"/>
      <c r="AB311" s="74"/>
      <c r="AC311" s="74"/>
      <c r="AD311" s="74"/>
      <c r="AE311" s="74"/>
      <c r="AF311" s="74"/>
      <c r="AG311" s="74"/>
      <c r="AH311" s="74"/>
      <c r="AI311" s="74"/>
      <c r="AJ311" s="74"/>
      <c r="AK311" s="74"/>
      <c r="AL311" s="74"/>
      <c r="AM311" s="74"/>
      <c r="AN311" s="74"/>
      <c r="AO311" s="74"/>
      <c r="AP311" s="74"/>
      <c r="AQ311" s="74"/>
      <c r="AR311" s="74"/>
      <c r="AS311" s="74"/>
      <c r="AT311" s="74"/>
      <c r="AU311" s="74"/>
      <c r="AV311" s="74"/>
      <c r="AW311" s="74"/>
      <c r="AX311" s="74"/>
      <c r="AY311" s="74"/>
    </row>
    <row r="312" spans="1:51" ht="15">
      <c r="A312" s="94"/>
      <c r="B312" s="95"/>
      <c r="C312" s="95"/>
      <c r="D312" s="96"/>
      <c r="E312" s="96"/>
      <c r="F312" s="96"/>
      <c r="G312" s="96"/>
      <c r="H312" s="96"/>
      <c r="I312" s="96"/>
      <c r="J312" s="96"/>
      <c r="K312" s="96"/>
      <c r="L312" s="96"/>
      <c r="M312" s="96"/>
      <c r="N312" s="96"/>
      <c r="O312" s="96"/>
      <c r="P312" s="96"/>
      <c r="Q312" s="96"/>
      <c r="R312" s="96"/>
      <c r="S312" s="96"/>
      <c r="T312" s="96"/>
      <c r="U312" s="96"/>
      <c r="V312" s="96"/>
      <c r="W312" s="96"/>
      <c r="X312" s="74"/>
      <c r="Y312" s="74"/>
      <c r="Z312" s="74"/>
      <c r="AA312" s="74"/>
      <c r="AB312" s="74"/>
      <c r="AC312" s="74"/>
      <c r="AD312" s="74"/>
      <c r="AE312" s="74"/>
      <c r="AF312" s="74"/>
      <c r="AG312" s="74"/>
      <c r="AH312" s="74"/>
      <c r="AI312" s="74"/>
      <c r="AJ312" s="74"/>
      <c r="AK312" s="74"/>
      <c r="AL312" s="74"/>
      <c r="AM312" s="74"/>
      <c r="AN312" s="74"/>
      <c r="AO312" s="74"/>
      <c r="AP312" s="74"/>
      <c r="AQ312" s="74"/>
      <c r="AR312" s="74"/>
      <c r="AS312" s="74"/>
      <c r="AT312" s="74"/>
      <c r="AU312" s="74"/>
      <c r="AV312" s="74"/>
      <c r="AW312" s="74"/>
      <c r="AX312" s="74"/>
      <c r="AY312" s="74"/>
    </row>
    <row r="313" spans="1:51" ht="15">
      <c r="A313" s="94"/>
      <c r="B313" s="95"/>
      <c r="C313" s="95"/>
      <c r="D313" s="96"/>
      <c r="E313" s="96"/>
      <c r="F313" s="96"/>
      <c r="G313" s="96"/>
      <c r="H313" s="96"/>
      <c r="I313" s="96"/>
      <c r="J313" s="96"/>
      <c r="K313" s="96"/>
      <c r="L313" s="96"/>
      <c r="M313" s="96"/>
      <c r="N313" s="96"/>
      <c r="O313" s="96"/>
      <c r="P313" s="96"/>
      <c r="Q313" s="96"/>
      <c r="R313" s="96"/>
      <c r="S313" s="96"/>
      <c r="T313" s="96"/>
      <c r="U313" s="96"/>
      <c r="V313" s="96"/>
      <c r="W313" s="96"/>
      <c r="X313" s="74"/>
      <c r="Y313" s="74"/>
      <c r="Z313" s="74"/>
      <c r="AA313" s="74"/>
      <c r="AB313" s="74"/>
      <c r="AC313" s="74"/>
      <c r="AD313" s="74"/>
      <c r="AE313" s="74"/>
      <c r="AF313" s="74"/>
      <c r="AG313" s="74"/>
      <c r="AH313" s="74"/>
      <c r="AI313" s="74"/>
      <c r="AJ313" s="74"/>
      <c r="AK313" s="74"/>
      <c r="AL313" s="74"/>
      <c r="AM313" s="74"/>
      <c r="AN313" s="74"/>
      <c r="AO313" s="74"/>
      <c r="AP313" s="74"/>
      <c r="AQ313" s="74"/>
      <c r="AR313" s="74"/>
      <c r="AS313" s="74"/>
      <c r="AT313" s="74"/>
      <c r="AU313" s="74"/>
      <c r="AV313" s="74"/>
      <c r="AW313" s="74"/>
      <c r="AX313" s="74"/>
      <c r="AY313" s="74"/>
    </row>
  </sheetData>
  <sheetProtection/>
  <autoFilter ref="A1:W291"/>
  <mergeCells count="66">
    <mergeCell ref="A16:A26"/>
    <mergeCell ref="A28:A44"/>
    <mergeCell ref="A45:A73"/>
    <mergeCell ref="A225:A229"/>
    <mergeCell ref="A274:A279"/>
    <mergeCell ref="A247:A250"/>
    <mergeCell ref="A243:A246"/>
    <mergeCell ref="A235:A241"/>
    <mergeCell ref="A230:A234"/>
    <mergeCell ref="A175:A179"/>
    <mergeCell ref="A181:A187"/>
    <mergeCell ref="A189:A198"/>
    <mergeCell ref="A200:A208"/>
    <mergeCell ref="A210:A212"/>
    <mergeCell ref="A214:A216"/>
    <mergeCell ref="A218:A224"/>
    <mergeCell ref="A302:A307"/>
    <mergeCell ref="A6:A15"/>
    <mergeCell ref="A27:B27"/>
    <mergeCell ref="A75:A85"/>
    <mergeCell ref="A86:A88"/>
    <mergeCell ref="A89:A99"/>
    <mergeCell ref="A100:A106"/>
    <mergeCell ref="A107:A112"/>
    <mergeCell ref="A113:A116"/>
    <mergeCell ref="A117:A120"/>
    <mergeCell ref="A121:A124"/>
    <mergeCell ref="A126:A140"/>
    <mergeCell ref="A142:A151"/>
    <mergeCell ref="A153:A163"/>
    <mergeCell ref="A164:A167"/>
    <mergeCell ref="A169:A173"/>
    <mergeCell ref="A251:A252"/>
    <mergeCell ref="A253:A265"/>
    <mergeCell ref="A297:A300"/>
    <mergeCell ref="A281:A295"/>
    <mergeCell ref="A266:B266"/>
    <mergeCell ref="A152:B152"/>
    <mergeCell ref="A242:B242"/>
    <mergeCell ref="A209:B209"/>
    <mergeCell ref="A217:B217"/>
    <mergeCell ref="A213:B213"/>
    <mergeCell ref="A174:B174"/>
    <mergeCell ref="A199:B199"/>
    <mergeCell ref="X1:AD2"/>
    <mergeCell ref="AE1:AY1"/>
    <mergeCell ref="A301:B301"/>
    <mergeCell ref="A180:B180"/>
    <mergeCell ref="A141:B141"/>
    <mergeCell ref="A125:B125"/>
    <mergeCell ref="I2:M2"/>
    <mergeCell ref="A74:B74"/>
    <mergeCell ref="A296:B296"/>
    <mergeCell ref="A188:B188"/>
    <mergeCell ref="A273:B273"/>
    <mergeCell ref="A280:B280"/>
    <mergeCell ref="A168:B168"/>
    <mergeCell ref="A5:B5"/>
    <mergeCell ref="A267:A272"/>
    <mergeCell ref="A4:B4"/>
    <mergeCell ref="AZ1:BD2"/>
    <mergeCell ref="AE2:AI2"/>
    <mergeCell ref="AJ2:AN2"/>
    <mergeCell ref="AO2:AS2"/>
    <mergeCell ref="AT2:AX2"/>
    <mergeCell ref="AY2:AY3"/>
  </mergeCells>
  <printOptions/>
  <pageMargins left="0.7" right="0.7" top="0.75" bottom="0.75" header="0.3" footer="0.3"/>
  <pageSetup fitToHeight="1" fitToWidth="1"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I33"/>
  <sheetViews>
    <sheetView zoomScalePageLayoutView="0" workbookViewId="0" topLeftCell="A1">
      <selection activeCell="E9" sqref="E9"/>
    </sheetView>
  </sheetViews>
  <sheetFormatPr defaultColWidth="11.421875" defaultRowHeight="15"/>
  <cols>
    <col min="3" max="3" width="24.00390625" style="0" customWidth="1"/>
    <col min="9" max="9" width="15.7109375" style="0" customWidth="1"/>
  </cols>
  <sheetData>
    <row r="2" spans="2:3" ht="15">
      <c r="B2" s="414"/>
      <c r="C2" s="415"/>
    </row>
    <row r="3" spans="2:3" ht="15">
      <c r="B3" s="414"/>
      <c r="C3" s="415"/>
    </row>
    <row r="4" spans="2:3" ht="15">
      <c r="B4" s="414"/>
      <c r="C4" s="415"/>
    </row>
    <row r="5" spans="2:3" ht="15">
      <c r="B5" s="414" t="s">
        <v>26</v>
      </c>
      <c r="C5" s="415"/>
    </row>
    <row r="6" spans="2:3" ht="15">
      <c r="B6" s="416" t="s">
        <v>27</v>
      </c>
      <c r="C6" s="417"/>
    </row>
    <row r="7" spans="2:3" ht="15">
      <c r="B7" s="416" t="s">
        <v>28</v>
      </c>
      <c r="C7" s="417"/>
    </row>
    <row r="8" spans="2:3" ht="15">
      <c r="B8" s="416" t="s">
        <v>29</v>
      </c>
      <c r="C8" s="417"/>
    </row>
    <row r="9" spans="2:3" ht="15">
      <c r="B9" s="416" t="s">
        <v>30</v>
      </c>
      <c r="C9" s="417"/>
    </row>
    <row r="10" spans="2:3" ht="15">
      <c r="B10" s="414" t="s">
        <v>31</v>
      </c>
      <c r="C10" s="415"/>
    </row>
    <row r="11" spans="2:3" ht="15">
      <c r="B11" s="414" t="s">
        <v>32</v>
      </c>
      <c r="C11" s="415"/>
    </row>
    <row r="12" spans="2:3" ht="15">
      <c r="B12" s="414" t="s">
        <v>33</v>
      </c>
      <c r="C12" s="415"/>
    </row>
    <row r="13" spans="2:3" ht="15">
      <c r="B13" s="414" t="s">
        <v>34</v>
      </c>
      <c r="C13" s="415"/>
    </row>
    <row r="14" spans="2:3" ht="15">
      <c r="B14" s="414" t="s">
        <v>35</v>
      </c>
      <c r="C14" s="415"/>
    </row>
    <row r="15" spans="2:3" ht="15">
      <c r="B15" s="414" t="s">
        <v>36</v>
      </c>
      <c r="C15" s="415"/>
    </row>
    <row r="16" spans="2:3" ht="15">
      <c r="B16" s="414" t="s">
        <v>37</v>
      </c>
      <c r="C16" s="415"/>
    </row>
    <row r="17" spans="2:9" ht="15">
      <c r="B17" s="414" t="s">
        <v>38</v>
      </c>
      <c r="C17" s="415"/>
      <c r="E17" s="19">
        <v>1316091</v>
      </c>
      <c r="F17" s="18">
        <v>151983902</v>
      </c>
      <c r="G17" s="18"/>
      <c r="H17" s="19">
        <v>23574833</v>
      </c>
      <c r="I17" s="20">
        <f>SUM(E17:H17)</f>
        <v>176874826</v>
      </c>
    </row>
    <row r="18" spans="2:3" ht="15">
      <c r="B18" s="418" t="s">
        <v>39</v>
      </c>
      <c r="C18" s="419"/>
    </row>
    <row r="19" spans="2:3" ht="15">
      <c r="B19" s="418" t="s">
        <v>40</v>
      </c>
      <c r="C19" s="419"/>
    </row>
    <row r="20" spans="2:3" ht="15">
      <c r="B20" s="418" t="s">
        <v>41</v>
      </c>
      <c r="C20" s="419"/>
    </row>
    <row r="21" spans="2:3" ht="15">
      <c r="B21" s="414" t="s">
        <v>41</v>
      </c>
      <c r="C21" s="415"/>
    </row>
    <row r="22" spans="2:3" ht="15">
      <c r="B22" s="414" t="s">
        <v>42</v>
      </c>
      <c r="C22" s="415"/>
    </row>
    <row r="23" spans="2:3" ht="15">
      <c r="B23" s="414" t="s">
        <v>43</v>
      </c>
      <c r="C23" s="415"/>
    </row>
    <row r="24" spans="2:3" ht="15">
      <c r="B24" s="414" t="s">
        <v>44</v>
      </c>
      <c r="C24" s="415"/>
    </row>
    <row r="25" spans="2:3" ht="15">
      <c r="B25" s="414" t="s">
        <v>45</v>
      </c>
      <c r="C25" s="415"/>
    </row>
    <row r="26" spans="2:3" ht="15">
      <c r="B26" s="414" t="s">
        <v>46</v>
      </c>
      <c r="C26" s="415"/>
    </row>
    <row r="27" spans="2:3" ht="15">
      <c r="B27" s="414" t="s">
        <v>47</v>
      </c>
      <c r="C27" s="415"/>
    </row>
    <row r="28" spans="2:3" ht="15">
      <c r="B28" s="414" t="s">
        <v>48</v>
      </c>
      <c r="C28" s="415"/>
    </row>
    <row r="29" spans="2:3" ht="15">
      <c r="B29" s="414" t="s">
        <v>49</v>
      </c>
      <c r="C29" s="415"/>
    </row>
    <row r="30" spans="2:3" ht="15">
      <c r="B30" s="414" t="s">
        <v>50</v>
      </c>
      <c r="C30" s="415"/>
    </row>
    <row r="31" spans="2:3" ht="15">
      <c r="B31" s="414" t="s">
        <v>51</v>
      </c>
      <c r="C31" s="415"/>
    </row>
    <row r="32" spans="2:3" ht="15">
      <c r="B32" s="414" t="s">
        <v>52</v>
      </c>
      <c r="C32" s="415"/>
    </row>
    <row r="33" spans="2:3" ht="15">
      <c r="B33" s="414" t="s">
        <v>53</v>
      </c>
      <c r="C33" s="415"/>
    </row>
  </sheetData>
  <sheetProtection/>
  <mergeCells count="32">
    <mergeCell ref="B32:C32"/>
    <mergeCell ref="B33:C33"/>
    <mergeCell ref="B26:C26"/>
    <mergeCell ref="B27:C27"/>
    <mergeCell ref="B28:C28"/>
    <mergeCell ref="B29:C29"/>
    <mergeCell ref="B30:C30"/>
    <mergeCell ref="B31:C31"/>
    <mergeCell ref="B25:C25"/>
    <mergeCell ref="B14:C14"/>
    <mergeCell ref="B15:C15"/>
    <mergeCell ref="B16:C16"/>
    <mergeCell ref="B17:C17"/>
    <mergeCell ref="B18:C18"/>
    <mergeCell ref="B19:C19"/>
    <mergeCell ref="B20:C20"/>
    <mergeCell ref="B21:C21"/>
    <mergeCell ref="B22:C22"/>
    <mergeCell ref="B23:C23"/>
    <mergeCell ref="B24:C24"/>
    <mergeCell ref="B13:C13"/>
    <mergeCell ref="B2:C2"/>
    <mergeCell ref="B3:C3"/>
    <mergeCell ref="B4:C4"/>
    <mergeCell ref="B5:C5"/>
    <mergeCell ref="B6:C6"/>
    <mergeCell ref="B7:C7"/>
    <mergeCell ref="B8:C8"/>
    <mergeCell ref="B9:C9"/>
    <mergeCell ref="B10:C10"/>
    <mergeCell ref="B11:C11"/>
    <mergeCell ref="B12:C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K28"/>
  <sheetViews>
    <sheetView zoomScalePageLayoutView="0" workbookViewId="0" topLeftCell="A1">
      <selection activeCell="O22" sqref="O22:P22"/>
    </sheetView>
  </sheetViews>
  <sheetFormatPr defaultColWidth="11.421875" defaultRowHeight="15"/>
  <cols>
    <col min="1" max="1" width="23.00390625" style="0" customWidth="1"/>
    <col min="5" max="5" width="11.28125" style="0" customWidth="1"/>
    <col min="6" max="6" width="11.421875" style="0" hidden="1" customWidth="1"/>
    <col min="7" max="7" width="11.421875" style="0" customWidth="1"/>
    <col min="8" max="8" width="0.2890625" style="0" hidden="1" customWidth="1"/>
    <col min="9" max="11" width="11.421875" style="0" hidden="1" customWidth="1"/>
    <col min="12" max="12" width="11.28125" style="0" customWidth="1"/>
    <col min="13" max="13" width="11.421875" style="0" hidden="1" customWidth="1"/>
    <col min="14" max="14" width="0.5625" style="0" customWidth="1"/>
  </cols>
  <sheetData>
    <row r="1" spans="1:37" ht="15.75" thickBot="1">
      <c r="A1" s="420" t="s">
        <v>0</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2"/>
    </row>
    <row r="2" spans="1:37" ht="15.75" thickBot="1">
      <c r="A2" s="1"/>
      <c r="B2" s="423"/>
      <c r="C2" s="424"/>
      <c r="D2" s="423">
        <v>2012</v>
      </c>
      <c r="E2" s="425"/>
      <c r="F2" s="425"/>
      <c r="G2" s="425"/>
      <c r="H2" s="425"/>
      <c r="I2" s="425"/>
      <c r="J2" s="425"/>
      <c r="K2" s="425"/>
      <c r="L2" s="425"/>
      <c r="M2" s="426"/>
      <c r="N2" s="427">
        <v>2013</v>
      </c>
      <c r="O2" s="428"/>
      <c r="P2" s="428"/>
      <c r="Q2" s="428"/>
      <c r="R2" s="428"/>
      <c r="S2" s="428"/>
      <c r="T2" s="428"/>
      <c r="U2" s="429"/>
      <c r="V2" s="430">
        <v>2014</v>
      </c>
      <c r="W2" s="428"/>
      <c r="X2" s="428"/>
      <c r="Y2" s="428"/>
      <c r="Z2" s="428"/>
      <c r="AA2" s="428"/>
      <c r="AB2" s="428"/>
      <c r="AC2" s="428"/>
      <c r="AD2" s="429"/>
      <c r="AE2" s="430">
        <v>2015</v>
      </c>
      <c r="AF2" s="428"/>
      <c r="AG2" s="428"/>
      <c r="AH2" s="428"/>
      <c r="AI2" s="428"/>
      <c r="AJ2" s="428"/>
      <c r="AK2" s="429"/>
    </row>
    <row r="3" spans="1:37" ht="24" thickBot="1">
      <c r="A3" s="2" t="s">
        <v>1</v>
      </c>
      <c r="B3" s="431" t="s">
        <v>2</v>
      </c>
      <c r="C3" s="432"/>
      <c r="D3" s="3" t="s">
        <v>3</v>
      </c>
      <c r="E3" s="3" t="s">
        <v>4</v>
      </c>
      <c r="F3" s="430" t="s">
        <v>5</v>
      </c>
      <c r="G3" s="429"/>
      <c r="H3" s="430" t="s">
        <v>6</v>
      </c>
      <c r="I3" s="428"/>
      <c r="J3" s="428"/>
      <c r="K3" s="428"/>
      <c r="L3" s="428"/>
      <c r="M3" s="429"/>
      <c r="N3" s="430" t="s">
        <v>3</v>
      </c>
      <c r="O3" s="429"/>
      <c r="P3" s="3" t="s">
        <v>4</v>
      </c>
      <c r="Q3" s="430" t="s">
        <v>5</v>
      </c>
      <c r="R3" s="428"/>
      <c r="S3" s="429"/>
      <c r="T3" s="430" t="s">
        <v>6</v>
      </c>
      <c r="U3" s="429"/>
      <c r="V3" s="430" t="s">
        <v>3</v>
      </c>
      <c r="W3" s="429"/>
      <c r="X3" s="430" t="s">
        <v>4</v>
      </c>
      <c r="Y3" s="429"/>
      <c r="Z3" s="430" t="s">
        <v>5</v>
      </c>
      <c r="AA3" s="428"/>
      <c r="AB3" s="428"/>
      <c r="AC3" s="429"/>
      <c r="AD3" s="3" t="s">
        <v>6</v>
      </c>
      <c r="AE3" s="430" t="s">
        <v>3</v>
      </c>
      <c r="AF3" s="429"/>
      <c r="AG3" s="430" t="s">
        <v>4</v>
      </c>
      <c r="AH3" s="428"/>
      <c r="AI3" s="429"/>
      <c r="AJ3" s="3" t="s">
        <v>5</v>
      </c>
      <c r="AK3" s="3" t="s">
        <v>6</v>
      </c>
    </row>
    <row r="4" spans="1:37" ht="15.75" thickBot="1">
      <c r="A4" s="430" t="s">
        <v>7</v>
      </c>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9"/>
    </row>
    <row r="5" spans="1:37" ht="15.75" thickBot="1">
      <c r="A5" s="433" t="s">
        <v>8</v>
      </c>
      <c r="B5" s="433"/>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row>
    <row r="6" spans="1:37" ht="15.75" thickBot="1">
      <c r="A6" s="434" t="s">
        <v>9</v>
      </c>
      <c r="B6" s="435"/>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row>
    <row r="7" spans="1:37" ht="15.75" thickBot="1">
      <c r="A7" s="444" t="s">
        <v>10</v>
      </c>
      <c r="B7" s="439"/>
      <c r="C7" s="440"/>
      <c r="D7" s="4"/>
      <c r="E7" s="4"/>
      <c r="F7" s="439"/>
      <c r="G7" s="441"/>
      <c r="H7" s="440"/>
      <c r="I7" s="439"/>
      <c r="J7" s="441"/>
      <c r="K7" s="441"/>
      <c r="L7" s="441"/>
      <c r="M7" s="440"/>
      <c r="N7" s="5"/>
      <c r="O7" s="442"/>
      <c r="P7" s="443"/>
      <c r="Q7" s="5"/>
      <c r="R7" s="436"/>
      <c r="S7" s="437"/>
      <c r="T7" s="438"/>
      <c r="U7" s="442"/>
      <c r="V7" s="443"/>
      <c r="W7" s="442"/>
      <c r="X7" s="443"/>
      <c r="Y7" s="442"/>
      <c r="Z7" s="443"/>
      <c r="AA7" s="436"/>
      <c r="AB7" s="438"/>
      <c r="AC7" s="442"/>
      <c r="AD7" s="447"/>
      <c r="AE7" s="443"/>
      <c r="AF7" s="442"/>
      <c r="AG7" s="443"/>
      <c r="AH7" s="5"/>
      <c r="AI7" s="436"/>
      <c r="AJ7" s="437"/>
      <c r="AK7" s="438"/>
    </row>
    <row r="8" spans="1:37" ht="15.75" thickBot="1">
      <c r="A8" s="445"/>
      <c r="B8" s="439"/>
      <c r="C8" s="440"/>
      <c r="D8" s="4"/>
      <c r="E8" s="4"/>
      <c r="F8" s="439"/>
      <c r="G8" s="441"/>
      <c r="H8" s="440"/>
      <c r="I8" s="439"/>
      <c r="J8" s="441"/>
      <c r="K8" s="441"/>
      <c r="L8" s="441"/>
      <c r="M8" s="440"/>
      <c r="N8" s="5"/>
      <c r="O8" s="442"/>
      <c r="P8" s="443"/>
      <c r="Q8" s="5"/>
      <c r="R8" s="436"/>
      <c r="S8" s="437"/>
      <c r="T8" s="438"/>
      <c r="U8" s="442"/>
      <c r="V8" s="443"/>
      <c r="W8" s="442"/>
      <c r="X8" s="443"/>
      <c r="Y8" s="442"/>
      <c r="Z8" s="443"/>
      <c r="AA8" s="436"/>
      <c r="AB8" s="438"/>
      <c r="AC8" s="442"/>
      <c r="AD8" s="447"/>
      <c r="AE8" s="443"/>
      <c r="AF8" s="442"/>
      <c r="AG8" s="443"/>
      <c r="AH8" s="5"/>
      <c r="AI8" s="436"/>
      <c r="AJ8" s="437"/>
      <c r="AK8" s="438"/>
    </row>
    <row r="9" spans="1:37" ht="15.75" thickBot="1">
      <c r="A9" s="445"/>
      <c r="B9" s="439"/>
      <c r="C9" s="440"/>
      <c r="D9" s="4"/>
      <c r="E9" s="4"/>
      <c r="F9" s="439"/>
      <c r="G9" s="441"/>
      <c r="H9" s="440"/>
      <c r="I9" s="439"/>
      <c r="J9" s="441"/>
      <c r="K9" s="441"/>
      <c r="L9" s="441"/>
      <c r="M9" s="440"/>
      <c r="N9" s="5"/>
      <c r="O9" s="442"/>
      <c r="P9" s="443"/>
      <c r="Q9" s="5"/>
      <c r="R9" s="436"/>
      <c r="S9" s="437"/>
      <c r="T9" s="438"/>
      <c r="U9" s="442"/>
      <c r="V9" s="443"/>
      <c r="W9" s="442"/>
      <c r="X9" s="443"/>
      <c r="Y9" s="442"/>
      <c r="Z9" s="443"/>
      <c r="AA9" s="436"/>
      <c r="AB9" s="438"/>
      <c r="AC9" s="442"/>
      <c r="AD9" s="447"/>
      <c r="AE9" s="443"/>
      <c r="AF9" s="442"/>
      <c r="AG9" s="443"/>
      <c r="AH9" s="5"/>
      <c r="AI9" s="436"/>
      <c r="AJ9" s="437"/>
      <c r="AK9" s="438"/>
    </row>
    <row r="10" spans="1:37" ht="15.75" thickBot="1">
      <c r="A10" s="446"/>
      <c r="B10" s="439"/>
      <c r="C10" s="440"/>
      <c r="D10" s="4"/>
      <c r="E10" s="4"/>
      <c r="F10" s="439"/>
      <c r="G10" s="441"/>
      <c r="H10" s="440"/>
      <c r="I10" s="439"/>
      <c r="J10" s="441"/>
      <c r="K10" s="441"/>
      <c r="L10" s="441"/>
      <c r="M10" s="440"/>
      <c r="N10" s="5"/>
      <c r="O10" s="442"/>
      <c r="P10" s="443"/>
      <c r="Q10" s="5"/>
      <c r="R10" s="436"/>
      <c r="S10" s="437"/>
      <c r="T10" s="438"/>
      <c r="U10" s="442"/>
      <c r="V10" s="443"/>
      <c r="W10" s="442"/>
      <c r="X10" s="443"/>
      <c r="Y10" s="442"/>
      <c r="Z10" s="443"/>
      <c r="AA10" s="436"/>
      <c r="AB10" s="438"/>
      <c r="AC10" s="442"/>
      <c r="AD10" s="447"/>
      <c r="AE10" s="443"/>
      <c r="AF10" s="442"/>
      <c r="AG10" s="443"/>
      <c r="AH10" s="5"/>
      <c r="AI10" s="436"/>
      <c r="AJ10" s="437"/>
      <c r="AK10" s="438"/>
    </row>
    <row r="11" spans="1:37" ht="15.75" thickBot="1">
      <c r="A11" s="6" t="s">
        <v>11</v>
      </c>
      <c r="B11" s="448"/>
      <c r="C11" s="449"/>
      <c r="D11" s="7"/>
      <c r="E11" s="7"/>
      <c r="F11" s="448"/>
      <c r="G11" s="450"/>
      <c r="H11" s="449"/>
      <c r="I11" s="448"/>
      <c r="J11" s="450"/>
      <c r="K11" s="450"/>
      <c r="L11" s="450"/>
      <c r="M11" s="449"/>
      <c r="N11" s="7"/>
      <c r="O11" s="448"/>
      <c r="P11" s="449"/>
      <c r="Q11" s="7"/>
      <c r="R11" s="448"/>
      <c r="S11" s="450"/>
      <c r="T11" s="449"/>
      <c r="U11" s="448"/>
      <c r="V11" s="449"/>
      <c r="W11" s="448"/>
      <c r="X11" s="449"/>
      <c r="Y11" s="448"/>
      <c r="Z11" s="449"/>
      <c r="AA11" s="448"/>
      <c r="AB11" s="449"/>
      <c r="AC11" s="448"/>
      <c r="AD11" s="450"/>
      <c r="AE11" s="449"/>
      <c r="AF11" s="448"/>
      <c r="AG11" s="449"/>
      <c r="AH11" s="7"/>
      <c r="AI11" s="448"/>
      <c r="AJ11" s="450"/>
      <c r="AK11" s="449"/>
    </row>
    <row r="12" spans="1:37" ht="15.75" thickBot="1">
      <c r="A12" s="433" t="s">
        <v>12</v>
      </c>
      <c r="B12" s="433"/>
      <c r="C12" s="433"/>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c r="AK12" s="433"/>
    </row>
    <row r="13" spans="1:37" ht="15.75" thickBot="1">
      <c r="A13" s="434" t="s">
        <v>13</v>
      </c>
      <c r="B13" s="435"/>
      <c r="C13" s="435"/>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row>
    <row r="14" spans="1:37" ht="15.75" thickBot="1">
      <c r="A14" s="448" t="s">
        <v>14</v>
      </c>
      <c r="B14" s="449"/>
      <c r="C14" s="7"/>
      <c r="D14" s="7"/>
      <c r="E14" s="7"/>
      <c r="F14" s="448"/>
      <c r="G14" s="450"/>
      <c r="H14" s="450"/>
      <c r="I14" s="449"/>
      <c r="J14" s="448"/>
      <c r="K14" s="450"/>
      <c r="L14" s="450"/>
      <c r="M14" s="449"/>
      <c r="N14" s="7"/>
      <c r="O14" s="448"/>
      <c r="P14" s="449"/>
      <c r="Q14" s="448"/>
      <c r="R14" s="449"/>
      <c r="S14" s="448"/>
      <c r="T14" s="449"/>
      <c r="U14" s="448"/>
      <c r="V14" s="449"/>
      <c r="W14" s="448"/>
      <c r="X14" s="449"/>
      <c r="Y14" s="448"/>
      <c r="Z14" s="450"/>
      <c r="AA14" s="449"/>
      <c r="AB14" s="7"/>
      <c r="AC14" s="448"/>
      <c r="AD14" s="450"/>
      <c r="AE14" s="449"/>
      <c r="AF14" s="448"/>
      <c r="AG14" s="449"/>
      <c r="AH14" s="448"/>
      <c r="AI14" s="449"/>
      <c r="AJ14" s="448"/>
      <c r="AK14" s="449"/>
    </row>
    <row r="15" spans="1:37" ht="15.75" thickBot="1">
      <c r="A15" s="448" t="s">
        <v>15</v>
      </c>
      <c r="B15" s="449"/>
      <c r="C15" s="7"/>
      <c r="D15" s="7"/>
      <c r="E15" s="7"/>
      <c r="F15" s="448"/>
      <c r="G15" s="450"/>
      <c r="H15" s="450"/>
      <c r="I15" s="450"/>
      <c r="J15" s="449"/>
      <c r="K15" s="448"/>
      <c r="L15" s="450"/>
      <c r="M15" s="449"/>
      <c r="N15" s="7"/>
      <c r="O15" s="448"/>
      <c r="P15" s="449"/>
      <c r="Q15" s="448"/>
      <c r="R15" s="449"/>
      <c r="S15" s="448"/>
      <c r="T15" s="449"/>
      <c r="U15" s="448"/>
      <c r="V15" s="449"/>
      <c r="W15" s="448"/>
      <c r="X15" s="449"/>
      <c r="Y15" s="448"/>
      <c r="Z15" s="450"/>
      <c r="AA15" s="450"/>
      <c r="AB15" s="449"/>
      <c r="AC15" s="448"/>
      <c r="AD15" s="450"/>
      <c r="AE15" s="449"/>
      <c r="AF15" s="448"/>
      <c r="AG15" s="449"/>
      <c r="AH15" s="448"/>
      <c r="AI15" s="450"/>
      <c r="AJ15" s="450"/>
      <c r="AK15" s="449"/>
    </row>
    <row r="16" spans="1:37" ht="15.75" thickBot="1">
      <c r="A16" s="448" t="s">
        <v>16</v>
      </c>
      <c r="B16" s="449"/>
      <c r="C16" s="7"/>
      <c r="D16" s="7"/>
      <c r="E16" s="7"/>
      <c r="F16" s="448"/>
      <c r="G16" s="450"/>
      <c r="H16" s="450"/>
      <c r="I16" s="450"/>
      <c r="J16" s="449"/>
      <c r="K16" s="448"/>
      <c r="L16" s="450"/>
      <c r="M16" s="449"/>
      <c r="N16" s="7"/>
      <c r="O16" s="448"/>
      <c r="P16" s="449"/>
      <c r="Q16" s="448"/>
      <c r="R16" s="450"/>
      <c r="S16" s="450"/>
      <c r="T16" s="449"/>
      <c r="U16" s="448"/>
      <c r="V16" s="449"/>
      <c r="W16" s="448"/>
      <c r="X16" s="449"/>
      <c r="Y16" s="448"/>
      <c r="Z16" s="450"/>
      <c r="AA16" s="450"/>
      <c r="AB16" s="449"/>
      <c r="AC16" s="448"/>
      <c r="AD16" s="450"/>
      <c r="AE16" s="449"/>
      <c r="AF16" s="448"/>
      <c r="AG16" s="449"/>
      <c r="AH16" s="448"/>
      <c r="AI16" s="450"/>
      <c r="AJ16" s="450"/>
      <c r="AK16" s="449"/>
    </row>
    <row r="17" spans="1:37" ht="15.75" thickBot="1">
      <c r="A17" s="434" t="s">
        <v>17</v>
      </c>
      <c r="B17" s="435"/>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row>
    <row r="18" spans="1:37" ht="15.75" thickBot="1">
      <c r="A18" s="6" t="s">
        <v>10</v>
      </c>
      <c r="B18" s="448"/>
      <c r="C18" s="449"/>
      <c r="D18" s="7"/>
      <c r="E18" s="448"/>
      <c r="F18" s="449"/>
      <c r="G18" s="448"/>
      <c r="H18" s="450"/>
      <c r="I18" s="450"/>
      <c r="J18" s="450"/>
      <c r="K18" s="449"/>
      <c r="L18" s="7"/>
      <c r="M18" s="448"/>
      <c r="N18" s="449"/>
      <c r="O18" s="448"/>
      <c r="P18" s="449"/>
      <c r="Q18" s="448"/>
      <c r="R18" s="450"/>
      <c r="S18" s="450"/>
      <c r="T18" s="449"/>
      <c r="U18" s="448"/>
      <c r="V18" s="449"/>
      <c r="W18" s="448"/>
      <c r="X18" s="449"/>
      <c r="Y18" s="448"/>
      <c r="Z18" s="450"/>
      <c r="AA18" s="450"/>
      <c r="AB18" s="449"/>
      <c r="AC18" s="448"/>
      <c r="AD18" s="450"/>
      <c r="AE18" s="449"/>
      <c r="AF18" s="448"/>
      <c r="AG18" s="449"/>
      <c r="AH18" s="448"/>
      <c r="AI18" s="450"/>
      <c r="AJ18" s="450"/>
      <c r="AK18" s="449"/>
    </row>
    <row r="19" spans="1:37" ht="15.75" thickBot="1">
      <c r="A19" s="6" t="s">
        <v>14</v>
      </c>
      <c r="B19" s="448"/>
      <c r="C19" s="449"/>
      <c r="D19" s="7"/>
      <c r="E19" s="448"/>
      <c r="F19" s="449"/>
      <c r="G19" s="448"/>
      <c r="H19" s="450"/>
      <c r="I19" s="450"/>
      <c r="J19" s="450"/>
      <c r="K19" s="449"/>
      <c r="L19" s="7"/>
      <c r="M19" s="448"/>
      <c r="N19" s="449"/>
      <c r="O19" s="448"/>
      <c r="P19" s="449"/>
      <c r="Q19" s="448"/>
      <c r="R19" s="450"/>
      <c r="S19" s="450"/>
      <c r="T19" s="449"/>
      <c r="U19" s="448"/>
      <c r="V19" s="449"/>
      <c r="W19" s="448"/>
      <c r="X19" s="449"/>
      <c r="Y19" s="448"/>
      <c r="Z19" s="450"/>
      <c r="AA19" s="450"/>
      <c r="AB19" s="449"/>
      <c r="AC19" s="448"/>
      <c r="AD19" s="450"/>
      <c r="AE19" s="449"/>
      <c r="AF19" s="448"/>
      <c r="AG19" s="449"/>
      <c r="AH19" s="448"/>
      <c r="AI19" s="450"/>
      <c r="AJ19" s="450"/>
      <c r="AK19" s="449"/>
    </row>
    <row r="20" spans="1:37" ht="15.75" thickBot="1">
      <c r="A20" s="6" t="s">
        <v>18</v>
      </c>
      <c r="B20" s="448"/>
      <c r="C20" s="449"/>
      <c r="D20" s="7"/>
      <c r="E20" s="448"/>
      <c r="F20" s="449"/>
      <c r="G20" s="448"/>
      <c r="H20" s="450"/>
      <c r="I20" s="450"/>
      <c r="J20" s="450"/>
      <c r="K20" s="449"/>
      <c r="L20" s="7"/>
      <c r="M20" s="448"/>
      <c r="N20" s="449"/>
      <c r="O20" s="448"/>
      <c r="P20" s="449"/>
      <c r="Q20" s="448"/>
      <c r="R20" s="450"/>
      <c r="S20" s="450"/>
      <c r="T20" s="449"/>
      <c r="U20" s="448"/>
      <c r="V20" s="449"/>
      <c r="W20" s="448"/>
      <c r="X20" s="449"/>
      <c r="Y20" s="448"/>
      <c r="Z20" s="450"/>
      <c r="AA20" s="450"/>
      <c r="AB20" s="449"/>
      <c r="AC20" s="448"/>
      <c r="AD20" s="450"/>
      <c r="AE20" s="449"/>
      <c r="AF20" s="448"/>
      <c r="AG20" s="449"/>
      <c r="AH20" s="448"/>
      <c r="AI20" s="450"/>
      <c r="AJ20" s="450"/>
      <c r="AK20" s="449"/>
    </row>
    <row r="21" spans="1:37" ht="15.75" thickBot="1">
      <c r="A21" s="434" t="s">
        <v>19</v>
      </c>
      <c r="B21" s="435"/>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row>
    <row r="22" spans="1:37" ht="15.75" thickBot="1">
      <c r="A22" s="6" t="s">
        <v>10</v>
      </c>
      <c r="B22" s="448"/>
      <c r="C22" s="449"/>
      <c r="D22" s="7"/>
      <c r="E22" s="448"/>
      <c r="F22" s="449"/>
      <c r="G22" s="448"/>
      <c r="H22" s="450"/>
      <c r="I22" s="450"/>
      <c r="J22" s="450"/>
      <c r="K22" s="449"/>
      <c r="L22" s="7"/>
      <c r="M22" s="448"/>
      <c r="N22" s="449"/>
      <c r="O22" s="448"/>
      <c r="P22" s="449"/>
      <c r="Q22" s="448"/>
      <c r="R22" s="450"/>
      <c r="S22" s="450"/>
      <c r="T22" s="449"/>
      <c r="U22" s="448"/>
      <c r="V22" s="449"/>
      <c r="W22" s="448"/>
      <c r="X22" s="449"/>
      <c r="Y22" s="448"/>
      <c r="Z22" s="450"/>
      <c r="AA22" s="450"/>
      <c r="AB22" s="449"/>
      <c r="AC22" s="448"/>
      <c r="AD22" s="450"/>
      <c r="AE22" s="449"/>
      <c r="AF22" s="448"/>
      <c r="AG22" s="449"/>
      <c r="AH22" s="448"/>
      <c r="AI22" s="450"/>
      <c r="AJ22" s="450"/>
      <c r="AK22" s="449"/>
    </row>
    <row r="23" spans="1:37" ht="15.75" thickBot="1">
      <c r="A23" s="6" t="s">
        <v>14</v>
      </c>
      <c r="B23" s="448"/>
      <c r="C23" s="449"/>
      <c r="D23" s="7"/>
      <c r="E23" s="448"/>
      <c r="F23" s="449"/>
      <c r="G23" s="448"/>
      <c r="H23" s="450"/>
      <c r="I23" s="450"/>
      <c r="J23" s="450"/>
      <c r="K23" s="449"/>
      <c r="L23" s="7"/>
      <c r="M23" s="448"/>
      <c r="N23" s="449"/>
      <c r="O23" s="448"/>
      <c r="P23" s="449"/>
      <c r="Q23" s="448"/>
      <c r="R23" s="450"/>
      <c r="S23" s="450"/>
      <c r="T23" s="449"/>
      <c r="U23" s="448"/>
      <c r="V23" s="449"/>
      <c r="W23" s="448"/>
      <c r="X23" s="449"/>
      <c r="Y23" s="448"/>
      <c r="Z23" s="450"/>
      <c r="AA23" s="450"/>
      <c r="AB23" s="449"/>
      <c r="AC23" s="448"/>
      <c r="AD23" s="450"/>
      <c r="AE23" s="449"/>
      <c r="AF23" s="448"/>
      <c r="AG23" s="449"/>
      <c r="AH23" s="448"/>
      <c r="AI23" s="450"/>
      <c r="AJ23" s="450"/>
      <c r="AK23" s="449"/>
    </row>
    <row r="24" spans="1:37" ht="15.75" thickBot="1">
      <c r="A24" s="6" t="s">
        <v>18</v>
      </c>
      <c r="B24" s="448"/>
      <c r="C24" s="449"/>
      <c r="D24" s="7"/>
      <c r="E24" s="448"/>
      <c r="F24" s="449"/>
      <c r="G24" s="448"/>
      <c r="H24" s="450"/>
      <c r="I24" s="450"/>
      <c r="J24" s="450"/>
      <c r="K24" s="449"/>
      <c r="L24" s="7"/>
      <c r="M24" s="448"/>
      <c r="N24" s="449"/>
      <c r="O24" s="448"/>
      <c r="P24" s="449"/>
      <c r="Q24" s="448"/>
      <c r="R24" s="450"/>
      <c r="S24" s="450"/>
      <c r="T24" s="449"/>
      <c r="U24" s="448"/>
      <c r="V24" s="449"/>
      <c r="W24" s="448"/>
      <c r="X24" s="449"/>
      <c r="Y24" s="448"/>
      <c r="Z24" s="450"/>
      <c r="AA24" s="450"/>
      <c r="AB24" s="449"/>
      <c r="AC24" s="448"/>
      <c r="AD24" s="450"/>
      <c r="AE24" s="449"/>
      <c r="AF24" s="448"/>
      <c r="AG24" s="449"/>
      <c r="AH24" s="448"/>
      <c r="AI24" s="450"/>
      <c r="AJ24" s="450"/>
      <c r="AK24" s="449"/>
    </row>
    <row r="25" spans="1:37" ht="15.75" thickBot="1">
      <c r="A25" s="433" t="s">
        <v>20</v>
      </c>
      <c r="B25" s="433"/>
      <c r="C25" s="433"/>
      <c r="D25" s="433"/>
      <c r="E25" s="433"/>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3"/>
    </row>
    <row r="26" spans="1:37" ht="15.75" thickBot="1">
      <c r="A26" s="434" t="s">
        <v>21</v>
      </c>
      <c r="B26" s="435"/>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row>
    <row r="27" spans="1:37" ht="15.75" thickBot="1">
      <c r="A27" s="6" t="s">
        <v>22</v>
      </c>
      <c r="B27" s="448"/>
      <c r="C27" s="449"/>
      <c r="D27" s="7"/>
      <c r="E27" s="448"/>
      <c r="F27" s="449"/>
      <c r="G27" s="448"/>
      <c r="H27" s="450"/>
      <c r="I27" s="450"/>
      <c r="J27" s="450"/>
      <c r="K27" s="450"/>
      <c r="L27" s="449"/>
      <c r="M27" s="448"/>
      <c r="N27" s="449"/>
      <c r="O27" s="448"/>
      <c r="P27" s="449"/>
      <c r="Q27" s="448"/>
      <c r="R27" s="450"/>
      <c r="S27" s="450"/>
      <c r="T27" s="449"/>
      <c r="U27" s="448"/>
      <c r="V27" s="449"/>
      <c r="W27" s="448"/>
      <c r="X27" s="449"/>
      <c r="Y27" s="448"/>
      <c r="Z27" s="450"/>
      <c r="AA27" s="450"/>
      <c r="AB27" s="449"/>
      <c r="AC27" s="448"/>
      <c r="AD27" s="450"/>
      <c r="AE27" s="449"/>
      <c r="AF27" s="448"/>
      <c r="AG27" s="449"/>
      <c r="AH27" s="448"/>
      <c r="AI27" s="450"/>
      <c r="AJ27" s="450"/>
      <c r="AK27" s="449"/>
    </row>
    <row r="28" spans="1:37" ht="15.75" thickBot="1">
      <c r="A28" s="6" t="s">
        <v>15</v>
      </c>
      <c r="B28" s="448"/>
      <c r="C28" s="449"/>
      <c r="D28" s="7"/>
      <c r="E28" s="448"/>
      <c r="F28" s="449"/>
      <c r="G28" s="448"/>
      <c r="H28" s="450"/>
      <c r="I28" s="450"/>
      <c r="J28" s="450"/>
      <c r="K28" s="450"/>
      <c r="L28" s="449"/>
      <c r="M28" s="448"/>
      <c r="N28" s="449"/>
      <c r="O28" s="448"/>
      <c r="P28" s="449"/>
      <c r="Q28" s="448"/>
      <c r="R28" s="450"/>
      <c r="S28" s="450"/>
      <c r="T28" s="449"/>
      <c r="U28" s="448"/>
      <c r="V28" s="449"/>
      <c r="W28" s="448"/>
      <c r="X28" s="449"/>
      <c r="Y28" s="448"/>
      <c r="Z28" s="450"/>
      <c r="AA28" s="450"/>
      <c r="AB28" s="449"/>
      <c r="AC28" s="448"/>
      <c r="AD28" s="450"/>
      <c r="AE28" s="449"/>
      <c r="AF28" s="448"/>
      <c r="AG28" s="449"/>
      <c r="AH28" s="448"/>
      <c r="AI28" s="450"/>
      <c r="AJ28" s="450"/>
      <c r="AK28" s="449"/>
    </row>
  </sheetData>
  <sheetProtection/>
  <mergeCells count="219">
    <mergeCell ref="U24:V24"/>
    <mergeCell ref="W24:X24"/>
    <mergeCell ref="Y24:AB24"/>
    <mergeCell ref="AC24:AE24"/>
    <mergeCell ref="AF24:AG24"/>
    <mergeCell ref="AH28:AK28"/>
    <mergeCell ref="Q28:T28"/>
    <mergeCell ref="U28:V28"/>
    <mergeCell ref="W28:X28"/>
    <mergeCell ref="Y28:AB28"/>
    <mergeCell ref="AC28:AE28"/>
    <mergeCell ref="AF28:AG28"/>
    <mergeCell ref="W27:X27"/>
    <mergeCell ref="Y27:AB27"/>
    <mergeCell ref="AC27:AE27"/>
    <mergeCell ref="AF27:AG27"/>
    <mergeCell ref="AH27:AK27"/>
    <mergeCell ref="AC23:AE23"/>
    <mergeCell ref="AF23:AG23"/>
    <mergeCell ref="AH23:AK23"/>
    <mergeCell ref="B24:C24"/>
    <mergeCell ref="E24:F24"/>
    <mergeCell ref="G24:K24"/>
    <mergeCell ref="M24:N24"/>
    <mergeCell ref="O24:P24"/>
    <mergeCell ref="B28:C28"/>
    <mergeCell ref="E28:F28"/>
    <mergeCell ref="G28:L28"/>
    <mergeCell ref="M28:N28"/>
    <mergeCell ref="O28:P28"/>
    <mergeCell ref="AH24:AK24"/>
    <mergeCell ref="A25:AK25"/>
    <mergeCell ref="A26:AK26"/>
    <mergeCell ref="B27:C27"/>
    <mergeCell ref="E27:F27"/>
    <mergeCell ref="G27:L27"/>
    <mergeCell ref="M27:N27"/>
    <mergeCell ref="O27:P27"/>
    <mergeCell ref="Q27:T27"/>
    <mergeCell ref="U27:V27"/>
    <mergeCell ref="Q24:T24"/>
    <mergeCell ref="B23:C23"/>
    <mergeCell ref="E23:F23"/>
    <mergeCell ref="G23:K23"/>
    <mergeCell ref="M23:N23"/>
    <mergeCell ref="O23:P23"/>
    <mergeCell ref="Q23:T23"/>
    <mergeCell ref="U23:V23"/>
    <mergeCell ref="W23:X23"/>
    <mergeCell ref="Y23:AB23"/>
    <mergeCell ref="A21:AK21"/>
    <mergeCell ref="B22:C22"/>
    <mergeCell ref="E22:F22"/>
    <mergeCell ref="G22:K22"/>
    <mergeCell ref="M22:N22"/>
    <mergeCell ref="O22:P22"/>
    <mergeCell ref="Q22:T22"/>
    <mergeCell ref="U22:V22"/>
    <mergeCell ref="W22:X22"/>
    <mergeCell ref="Y22:AB22"/>
    <mergeCell ref="AC22:AE22"/>
    <mergeCell ref="AF22:AG22"/>
    <mergeCell ref="AH22:AK22"/>
    <mergeCell ref="U20:V20"/>
    <mergeCell ref="W20:X20"/>
    <mergeCell ref="Y20:AB20"/>
    <mergeCell ref="AC20:AE20"/>
    <mergeCell ref="AF20:AG20"/>
    <mergeCell ref="AH20:AK20"/>
    <mergeCell ref="B20:C20"/>
    <mergeCell ref="E20:F20"/>
    <mergeCell ref="G20:K20"/>
    <mergeCell ref="M20:N20"/>
    <mergeCell ref="O20:P20"/>
    <mergeCell ref="Q20:T20"/>
    <mergeCell ref="U19:V19"/>
    <mergeCell ref="W19:X19"/>
    <mergeCell ref="Y19:AB19"/>
    <mergeCell ref="AC19:AE19"/>
    <mergeCell ref="AF19:AG19"/>
    <mergeCell ref="AH19:AK19"/>
    <mergeCell ref="B19:C19"/>
    <mergeCell ref="E19:F19"/>
    <mergeCell ref="G19:K19"/>
    <mergeCell ref="M19:N19"/>
    <mergeCell ref="O19:P19"/>
    <mergeCell ref="Q19:T19"/>
    <mergeCell ref="A17:AK17"/>
    <mergeCell ref="A16:B16"/>
    <mergeCell ref="F16:J16"/>
    <mergeCell ref="K16:M16"/>
    <mergeCell ref="O16:P16"/>
    <mergeCell ref="Q16:T16"/>
    <mergeCell ref="U16:V16"/>
    <mergeCell ref="U18:V18"/>
    <mergeCell ref="W18:X18"/>
    <mergeCell ref="Y18:AB18"/>
    <mergeCell ref="AC18:AE18"/>
    <mergeCell ref="AF18:AG18"/>
    <mergeCell ref="AH18:AK18"/>
    <mergeCell ref="B18:C18"/>
    <mergeCell ref="E18:F18"/>
    <mergeCell ref="G18:K18"/>
    <mergeCell ref="M18:N18"/>
    <mergeCell ref="O18:P18"/>
    <mergeCell ref="Q18:T18"/>
    <mergeCell ref="AH15:AK15"/>
    <mergeCell ref="A15:B15"/>
    <mergeCell ref="F15:J15"/>
    <mergeCell ref="K15:M15"/>
    <mergeCell ref="O15:P15"/>
    <mergeCell ref="Q15:R15"/>
    <mergeCell ref="S15:T15"/>
    <mergeCell ref="W16:X16"/>
    <mergeCell ref="Y16:AB16"/>
    <mergeCell ref="AC16:AE16"/>
    <mergeCell ref="AF16:AG16"/>
    <mergeCell ref="AH16:AK16"/>
    <mergeCell ref="AC15:AE15"/>
    <mergeCell ref="AF15:AG15"/>
    <mergeCell ref="AC14:AE14"/>
    <mergeCell ref="B11:C11"/>
    <mergeCell ref="F11:H11"/>
    <mergeCell ref="I11:M11"/>
    <mergeCell ref="O11:P11"/>
    <mergeCell ref="R11:T11"/>
    <mergeCell ref="W14:X14"/>
    <mergeCell ref="U15:V15"/>
    <mergeCell ref="W15:X15"/>
    <mergeCell ref="Y15:AB15"/>
    <mergeCell ref="J14:M14"/>
    <mergeCell ref="O14:P14"/>
    <mergeCell ref="Q14:R14"/>
    <mergeCell ref="S14:T14"/>
    <mergeCell ref="U14:V14"/>
    <mergeCell ref="U11:V11"/>
    <mergeCell ref="W11:X11"/>
    <mergeCell ref="Y11:Z11"/>
    <mergeCell ref="AA11:AB11"/>
    <mergeCell ref="Y14:AA14"/>
    <mergeCell ref="AF14:AG14"/>
    <mergeCell ref="AI9:AK9"/>
    <mergeCell ref="B10:C10"/>
    <mergeCell ref="F10:H10"/>
    <mergeCell ref="I10:M10"/>
    <mergeCell ref="O10:P10"/>
    <mergeCell ref="R10:T10"/>
    <mergeCell ref="U10:V10"/>
    <mergeCell ref="W10:X10"/>
    <mergeCell ref="Y10:Z10"/>
    <mergeCell ref="AA10:AB10"/>
    <mergeCell ref="AC10:AE10"/>
    <mergeCell ref="AF10:AG10"/>
    <mergeCell ref="AI10:AK10"/>
    <mergeCell ref="AA9:AB9"/>
    <mergeCell ref="AH14:AI14"/>
    <mergeCell ref="AJ14:AK14"/>
    <mergeCell ref="AI11:AK11"/>
    <mergeCell ref="A12:AK12"/>
    <mergeCell ref="A13:AK13"/>
    <mergeCell ref="A14:B14"/>
    <mergeCell ref="F14:I14"/>
    <mergeCell ref="AC11:AE11"/>
    <mergeCell ref="AF11:AG11"/>
    <mergeCell ref="U8:V8"/>
    <mergeCell ref="W8:X8"/>
    <mergeCell ref="Y8:Z8"/>
    <mergeCell ref="AA8:AB8"/>
    <mergeCell ref="AC8:AE8"/>
    <mergeCell ref="AF8:AG8"/>
    <mergeCell ref="AC9:AE9"/>
    <mergeCell ref="AF9:AG9"/>
    <mergeCell ref="AA7:AB7"/>
    <mergeCell ref="AC7:AE7"/>
    <mergeCell ref="AF7:AG7"/>
    <mergeCell ref="AI7:AK7"/>
    <mergeCell ref="B8:C8"/>
    <mergeCell ref="F8:H8"/>
    <mergeCell ref="I8:M8"/>
    <mergeCell ref="O8:P8"/>
    <mergeCell ref="R8:T8"/>
    <mergeCell ref="AI8:AK8"/>
    <mergeCell ref="A7:A10"/>
    <mergeCell ref="B7:C7"/>
    <mergeCell ref="F7:H7"/>
    <mergeCell ref="I7:M7"/>
    <mergeCell ref="O7:P7"/>
    <mergeCell ref="R7:T7"/>
    <mergeCell ref="U7:V7"/>
    <mergeCell ref="W7:X7"/>
    <mergeCell ref="Y7:Z7"/>
    <mergeCell ref="B9:C9"/>
    <mergeCell ref="F9:H9"/>
    <mergeCell ref="I9:M9"/>
    <mergeCell ref="O9:P9"/>
    <mergeCell ref="R9:T9"/>
    <mergeCell ref="U9:V9"/>
    <mergeCell ref="W9:X9"/>
    <mergeCell ref="Y9:Z9"/>
    <mergeCell ref="A4:AK4"/>
    <mergeCell ref="B3:C3"/>
    <mergeCell ref="F3:G3"/>
    <mergeCell ref="H3:M3"/>
    <mergeCell ref="N3:O3"/>
    <mergeCell ref="Q3:S3"/>
    <mergeCell ref="T3:U3"/>
    <mergeCell ref="A5:AK5"/>
    <mergeCell ref="A6:AK6"/>
    <mergeCell ref="A1:AK1"/>
    <mergeCell ref="B2:C2"/>
    <mergeCell ref="D2:M2"/>
    <mergeCell ref="N2:U2"/>
    <mergeCell ref="V2:AD2"/>
    <mergeCell ref="AE2:AK2"/>
    <mergeCell ref="V3:W3"/>
    <mergeCell ref="X3:Y3"/>
    <mergeCell ref="Z3:AC3"/>
    <mergeCell ref="AE3:AF3"/>
    <mergeCell ref="AG3:AI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341"/>
  <sheetViews>
    <sheetView tabSelected="1" zoomScale="70" zoomScaleNormal="70" zoomScalePageLayoutView="0" workbookViewId="0" topLeftCell="E1">
      <pane ySplit="3" topLeftCell="A4" activePane="bottomLeft" state="frozen"/>
      <selection pane="topLeft" activeCell="E1" sqref="E1"/>
      <selection pane="bottomLeft" activeCell="D4" sqref="D4:E4"/>
    </sheetView>
  </sheetViews>
  <sheetFormatPr defaultColWidth="4.421875" defaultRowHeight="15"/>
  <cols>
    <col min="1" max="3" width="0" style="8" hidden="1" customWidth="1"/>
    <col min="4" max="4" width="0" style="9" hidden="1" customWidth="1"/>
    <col min="5" max="5" width="25.57421875" style="13" customWidth="1"/>
    <col min="6" max="6" width="21.28125" style="8" hidden="1" customWidth="1"/>
    <col min="7" max="7" width="5.28125" style="8" hidden="1" customWidth="1"/>
    <col min="8" max="8" width="12.8515625" style="109" hidden="1" customWidth="1"/>
    <col min="9" max="9" width="30.140625" style="8" hidden="1" customWidth="1"/>
    <col min="10" max="10" width="6.00390625" style="148" hidden="1" customWidth="1"/>
    <col min="11" max="11" width="10.00390625" style="8" hidden="1" customWidth="1"/>
    <col min="12" max="12" width="20.00390625" style="8" bestFit="1" customWidth="1"/>
    <col min="13" max="13" width="18.7109375" style="8" customWidth="1"/>
    <col min="14" max="14" width="15.00390625" style="8" bestFit="1" customWidth="1"/>
    <col min="15" max="15" width="11.421875" style="8" bestFit="1" customWidth="1"/>
    <col min="16" max="16" width="13.421875" style="8" bestFit="1" customWidth="1"/>
    <col min="17" max="17" width="13.7109375" style="8" customWidth="1"/>
    <col min="18" max="18" width="29.57421875" style="109" customWidth="1"/>
    <col min="19" max="19" width="16.140625" style="109" customWidth="1"/>
    <col min="20" max="20" width="15.7109375" style="8" customWidth="1"/>
    <col min="21" max="16384" width="4.421875" style="8" customWidth="1"/>
  </cols>
  <sheetData>
    <row r="1" spans="1:22" s="236" customFormat="1" ht="15.75" customHeight="1">
      <c r="A1" s="534" t="s">
        <v>381</v>
      </c>
      <c r="B1" s="535" t="s">
        <v>382</v>
      </c>
      <c r="C1" s="534" t="s">
        <v>381</v>
      </c>
      <c r="D1" s="235"/>
      <c r="E1" s="235"/>
      <c r="F1" s="563" t="s">
        <v>386</v>
      </c>
      <c r="G1" s="563"/>
      <c r="H1" s="563"/>
      <c r="I1" s="563"/>
      <c r="J1" s="563"/>
      <c r="K1" s="563"/>
      <c r="L1" s="561" t="s">
        <v>388</v>
      </c>
      <c r="M1" s="562" t="s">
        <v>719</v>
      </c>
      <c r="N1" s="562"/>
      <c r="O1" s="562"/>
      <c r="P1" s="562"/>
      <c r="Q1" s="562"/>
      <c r="R1" s="530"/>
      <c r="S1" s="530"/>
      <c r="T1" s="530"/>
      <c r="U1" s="8"/>
      <c r="V1" s="8"/>
    </row>
    <row r="2" spans="1:22" s="239" customFormat="1" ht="15">
      <c r="A2" s="534"/>
      <c r="B2" s="535"/>
      <c r="C2" s="534"/>
      <c r="D2" s="237"/>
      <c r="E2" s="238"/>
      <c r="F2" s="563"/>
      <c r="G2" s="563"/>
      <c r="H2" s="563"/>
      <c r="I2" s="563"/>
      <c r="J2" s="563"/>
      <c r="K2" s="563"/>
      <c r="L2" s="561"/>
      <c r="M2" s="562"/>
      <c r="N2" s="562"/>
      <c r="O2" s="562"/>
      <c r="P2" s="562"/>
      <c r="Q2" s="562"/>
      <c r="R2" s="530"/>
      <c r="S2" s="530"/>
      <c r="T2" s="530"/>
      <c r="U2" s="9"/>
      <c r="V2" s="9"/>
    </row>
    <row r="3" spans="1:22" s="239" customFormat="1" ht="372">
      <c r="A3" s="534"/>
      <c r="B3" s="535"/>
      <c r="C3" s="534"/>
      <c r="D3" s="240" t="s">
        <v>383</v>
      </c>
      <c r="E3" s="240" t="s">
        <v>346</v>
      </c>
      <c r="F3" s="241" t="s">
        <v>356</v>
      </c>
      <c r="G3" s="241" t="s">
        <v>371</v>
      </c>
      <c r="H3" s="241" t="s">
        <v>385</v>
      </c>
      <c r="I3" s="242" t="s">
        <v>356</v>
      </c>
      <c r="J3" s="242" t="s">
        <v>717</v>
      </c>
      <c r="K3" s="242" t="s">
        <v>718</v>
      </c>
      <c r="L3" s="561"/>
      <c r="M3" s="243" t="s">
        <v>347</v>
      </c>
      <c r="N3" s="243" t="s">
        <v>4</v>
      </c>
      <c r="O3" s="244" t="s">
        <v>348</v>
      </c>
      <c r="P3" s="243" t="s">
        <v>352</v>
      </c>
      <c r="Q3" s="243" t="s">
        <v>351</v>
      </c>
      <c r="R3" s="366" t="s">
        <v>721</v>
      </c>
      <c r="S3" s="367" t="s">
        <v>387</v>
      </c>
      <c r="T3" s="367" t="s">
        <v>722</v>
      </c>
      <c r="U3" s="10"/>
      <c r="V3" s="10"/>
    </row>
    <row r="4" spans="1:20" ht="15">
      <c r="A4" s="107"/>
      <c r="B4" s="107"/>
      <c r="C4" s="107"/>
      <c r="D4" s="536" t="s">
        <v>55</v>
      </c>
      <c r="E4" s="537"/>
      <c r="F4" s="228"/>
      <c r="G4" s="229"/>
      <c r="H4" s="228"/>
      <c r="I4" s="229"/>
      <c r="J4" s="230"/>
      <c r="K4" s="229"/>
      <c r="L4" s="229"/>
      <c r="M4" s="229"/>
      <c r="N4" s="229"/>
      <c r="O4" s="229"/>
      <c r="P4" s="229"/>
      <c r="Q4" s="161">
        <f aca="true" t="shared" si="0" ref="Q4:Q67">SUM(M4:P4)</f>
        <v>0</v>
      </c>
      <c r="R4" s="368"/>
      <c r="S4" s="369"/>
      <c r="T4" s="370">
        <v>41274</v>
      </c>
    </row>
    <row r="5" spans="1:26" s="154" customFormat="1" ht="51" customHeight="1">
      <c r="A5" s="549">
        <v>30</v>
      </c>
      <c r="B5" s="552" t="s">
        <v>384</v>
      </c>
      <c r="C5" s="152">
        <v>10</v>
      </c>
      <c r="D5" s="538" t="s">
        <v>127</v>
      </c>
      <c r="E5" s="166" t="s">
        <v>85</v>
      </c>
      <c r="F5" s="160" t="s">
        <v>389</v>
      </c>
      <c r="G5" s="161"/>
      <c r="H5" s="162" t="s">
        <v>375</v>
      </c>
      <c r="I5" s="161"/>
      <c r="J5" s="163">
        <v>2</v>
      </c>
      <c r="K5" s="161"/>
      <c r="L5" s="161">
        <f>+M5+N5+O5+P5</f>
        <v>0</v>
      </c>
      <c r="M5" s="161"/>
      <c r="N5" s="161"/>
      <c r="O5" s="161"/>
      <c r="P5" s="161"/>
      <c r="Q5" s="161">
        <f t="shared" si="0"/>
        <v>0</v>
      </c>
      <c r="R5" s="371"/>
      <c r="S5" s="371" t="s">
        <v>620</v>
      </c>
      <c r="T5" s="372"/>
      <c r="U5" s="153"/>
      <c r="V5" s="153"/>
      <c r="W5" s="153"/>
      <c r="X5" s="153"/>
      <c r="Y5" s="153"/>
      <c r="Z5" s="153"/>
    </row>
    <row r="6" spans="1:26" s="154" customFormat="1" ht="36">
      <c r="A6" s="550"/>
      <c r="B6" s="553"/>
      <c r="C6" s="155">
        <v>10</v>
      </c>
      <c r="D6" s="539"/>
      <c r="E6" s="166" t="s">
        <v>84</v>
      </c>
      <c r="F6" s="160" t="s">
        <v>391</v>
      </c>
      <c r="G6" s="161"/>
      <c r="H6" s="162" t="s">
        <v>375</v>
      </c>
      <c r="I6" s="161"/>
      <c r="J6" s="163">
        <v>2</v>
      </c>
      <c r="K6" s="161"/>
      <c r="L6" s="161">
        <f aca="true" t="shared" si="1" ref="L6:L69">+M6+N6+O6+P6</f>
        <v>0</v>
      </c>
      <c r="M6" s="161"/>
      <c r="N6" s="161"/>
      <c r="O6" s="161"/>
      <c r="P6" s="161"/>
      <c r="Q6" s="161">
        <f t="shared" si="0"/>
        <v>0</v>
      </c>
      <c r="R6" s="371"/>
      <c r="S6" s="371" t="s">
        <v>620</v>
      </c>
      <c r="T6" s="373"/>
      <c r="U6" s="153"/>
      <c r="V6" s="153"/>
      <c r="W6" s="153"/>
      <c r="X6" s="153"/>
      <c r="Y6" s="153"/>
      <c r="Z6" s="153"/>
    </row>
    <row r="7" spans="1:26" s="154" customFormat="1" ht="48">
      <c r="A7" s="550"/>
      <c r="B7" s="553"/>
      <c r="C7" s="155">
        <v>10</v>
      </c>
      <c r="D7" s="539"/>
      <c r="E7" s="166" t="s">
        <v>83</v>
      </c>
      <c r="F7" s="160" t="s">
        <v>392</v>
      </c>
      <c r="G7" s="161"/>
      <c r="H7" s="162" t="s">
        <v>375</v>
      </c>
      <c r="I7" s="161"/>
      <c r="J7" s="163">
        <v>2</v>
      </c>
      <c r="K7" s="161"/>
      <c r="L7" s="161">
        <f t="shared" si="1"/>
        <v>0</v>
      </c>
      <c r="M7" s="161"/>
      <c r="N7" s="161"/>
      <c r="O7" s="161"/>
      <c r="P7" s="161"/>
      <c r="Q7" s="161">
        <f t="shared" si="0"/>
        <v>0</v>
      </c>
      <c r="R7" s="371"/>
      <c r="S7" s="371" t="s">
        <v>620</v>
      </c>
      <c r="T7" s="373"/>
      <c r="U7" s="153"/>
      <c r="V7" s="153"/>
      <c r="W7" s="153"/>
      <c r="X7" s="153"/>
      <c r="Y7" s="153"/>
      <c r="Z7" s="153"/>
    </row>
    <row r="8" spans="1:26" s="154" customFormat="1" ht="36">
      <c r="A8" s="550"/>
      <c r="B8" s="553"/>
      <c r="C8" s="155">
        <v>10</v>
      </c>
      <c r="D8" s="539"/>
      <c r="E8" s="166" t="s">
        <v>98</v>
      </c>
      <c r="F8" s="160" t="s">
        <v>393</v>
      </c>
      <c r="G8" s="161"/>
      <c r="H8" s="162" t="s">
        <v>375</v>
      </c>
      <c r="I8" s="161"/>
      <c r="J8" s="163">
        <v>2</v>
      </c>
      <c r="K8" s="161"/>
      <c r="L8" s="161">
        <f t="shared" si="1"/>
        <v>0</v>
      </c>
      <c r="M8" s="161"/>
      <c r="N8" s="161"/>
      <c r="O8" s="161"/>
      <c r="P8" s="161"/>
      <c r="Q8" s="161">
        <f t="shared" si="0"/>
        <v>0</v>
      </c>
      <c r="R8" s="371"/>
      <c r="S8" s="371" t="s">
        <v>620</v>
      </c>
      <c r="T8" s="373"/>
      <c r="U8" s="153"/>
      <c r="V8" s="153"/>
      <c r="W8" s="153"/>
      <c r="X8" s="153"/>
      <c r="Y8" s="153"/>
      <c r="Z8" s="153"/>
    </row>
    <row r="9" spans="1:26" s="154" customFormat="1" ht="48">
      <c r="A9" s="550"/>
      <c r="B9" s="553"/>
      <c r="C9" s="155">
        <v>10</v>
      </c>
      <c r="D9" s="539"/>
      <c r="E9" s="166" t="s">
        <v>23</v>
      </c>
      <c r="F9" s="160" t="s">
        <v>394</v>
      </c>
      <c r="G9" s="161"/>
      <c r="H9" s="162"/>
      <c r="I9" s="161"/>
      <c r="J9" s="163">
        <v>190</v>
      </c>
      <c r="K9" s="161"/>
      <c r="L9" s="161">
        <f t="shared" si="1"/>
        <v>18611781</v>
      </c>
      <c r="M9" s="161">
        <v>0</v>
      </c>
      <c r="N9" s="161">
        <v>18611781</v>
      </c>
      <c r="O9" s="161">
        <v>0</v>
      </c>
      <c r="P9" s="161">
        <v>0</v>
      </c>
      <c r="Q9" s="161">
        <f t="shared" si="0"/>
        <v>18611781</v>
      </c>
      <c r="R9" s="371" t="s">
        <v>376</v>
      </c>
      <c r="S9" s="371" t="s">
        <v>620</v>
      </c>
      <c r="T9" s="372">
        <v>41608</v>
      </c>
      <c r="U9" s="153"/>
      <c r="V9" s="153"/>
      <c r="W9" s="153"/>
      <c r="X9" s="153"/>
      <c r="Y9" s="153"/>
      <c r="Z9" s="153"/>
    </row>
    <row r="10" spans="1:26" s="154" customFormat="1" ht="120">
      <c r="A10" s="550"/>
      <c r="B10" s="553"/>
      <c r="C10" s="558">
        <v>10</v>
      </c>
      <c r="D10" s="539"/>
      <c r="E10" s="555" t="s">
        <v>676</v>
      </c>
      <c r="F10" s="581" t="s">
        <v>395</v>
      </c>
      <c r="G10" s="161"/>
      <c r="H10" s="231" t="s">
        <v>659</v>
      </c>
      <c r="I10" s="586" t="s">
        <v>395</v>
      </c>
      <c r="J10" s="163">
        <v>4</v>
      </c>
      <c r="K10" s="161">
        <v>4</v>
      </c>
      <c r="L10" s="161">
        <f t="shared" si="1"/>
        <v>8467246</v>
      </c>
      <c r="M10" s="161"/>
      <c r="N10" s="161">
        <v>8467246</v>
      </c>
      <c r="O10" s="161"/>
      <c r="P10" s="161"/>
      <c r="Q10" s="161">
        <f t="shared" si="0"/>
        <v>8467246</v>
      </c>
      <c r="R10" s="371" t="s">
        <v>377</v>
      </c>
      <c r="S10" s="371" t="s">
        <v>620</v>
      </c>
      <c r="T10" s="372">
        <v>41608</v>
      </c>
      <c r="U10" s="153"/>
      <c r="V10" s="153"/>
      <c r="W10" s="153"/>
      <c r="X10" s="153"/>
      <c r="Y10" s="153"/>
      <c r="Z10" s="153"/>
    </row>
    <row r="11" spans="1:26" s="154" customFormat="1" ht="372" customHeight="1">
      <c r="A11" s="550"/>
      <c r="B11" s="553"/>
      <c r="C11" s="559"/>
      <c r="D11" s="539"/>
      <c r="E11" s="556"/>
      <c r="F11" s="582"/>
      <c r="G11" s="161"/>
      <c r="H11" s="232" t="s">
        <v>701</v>
      </c>
      <c r="I11" s="587"/>
      <c r="J11" s="163"/>
      <c r="K11" s="161"/>
      <c r="L11" s="161">
        <f t="shared" si="1"/>
        <v>0</v>
      </c>
      <c r="M11" s="161"/>
      <c r="N11" s="161">
        <v>0</v>
      </c>
      <c r="O11" s="161"/>
      <c r="P11" s="161"/>
      <c r="Q11" s="161">
        <f t="shared" si="0"/>
        <v>0</v>
      </c>
      <c r="R11" s="371">
        <v>0</v>
      </c>
      <c r="S11" s="371" t="s">
        <v>620</v>
      </c>
      <c r="T11" s="372">
        <v>41608</v>
      </c>
      <c r="U11" s="153"/>
      <c r="V11" s="153"/>
      <c r="W11" s="153"/>
      <c r="X11" s="153"/>
      <c r="Y11" s="153"/>
      <c r="Z11" s="153"/>
    </row>
    <row r="12" spans="1:26" s="154" customFormat="1" ht="84">
      <c r="A12" s="550"/>
      <c r="B12" s="553"/>
      <c r="C12" s="560"/>
      <c r="D12" s="539"/>
      <c r="E12" s="557"/>
      <c r="F12" s="583"/>
      <c r="G12" s="161"/>
      <c r="H12" s="232" t="s">
        <v>663</v>
      </c>
      <c r="I12" s="220"/>
      <c r="J12" s="163"/>
      <c r="K12" s="161"/>
      <c r="L12" s="161">
        <f t="shared" si="1"/>
        <v>11624366</v>
      </c>
      <c r="M12" s="161">
        <v>0</v>
      </c>
      <c r="N12" s="233">
        <v>11624366</v>
      </c>
      <c r="O12" s="161">
        <v>0</v>
      </c>
      <c r="P12" s="161"/>
      <c r="Q12" s="161">
        <f t="shared" si="0"/>
        <v>11624366</v>
      </c>
      <c r="R12" s="371" t="s">
        <v>377</v>
      </c>
      <c r="S12" s="371"/>
      <c r="T12" s="372">
        <v>41608</v>
      </c>
      <c r="U12" s="153"/>
      <c r="V12" s="153"/>
      <c r="W12" s="153"/>
      <c r="X12" s="153"/>
      <c r="Y12" s="153"/>
      <c r="Z12" s="153"/>
    </row>
    <row r="13" spans="1:26" s="154" customFormat="1" ht="108">
      <c r="A13" s="550"/>
      <c r="B13" s="553"/>
      <c r="C13" s="155">
        <v>20</v>
      </c>
      <c r="D13" s="539"/>
      <c r="E13" s="166" t="s">
        <v>75</v>
      </c>
      <c r="F13" s="160" t="s">
        <v>396</v>
      </c>
      <c r="G13" s="161"/>
      <c r="H13" s="162" t="s">
        <v>664</v>
      </c>
      <c r="I13" s="160" t="s">
        <v>396</v>
      </c>
      <c r="J13" s="163">
        <v>7</v>
      </c>
      <c r="K13" s="161"/>
      <c r="L13" s="161">
        <f t="shared" si="1"/>
        <v>11829409</v>
      </c>
      <c r="M13" s="161">
        <v>0</v>
      </c>
      <c r="N13" s="233">
        <v>11829409</v>
      </c>
      <c r="O13" s="233">
        <v>0</v>
      </c>
      <c r="P13" s="161"/>
      <c r="Q13" s="161">
        <f t="shared" si="0"/>
        <v>11829409</v>
      </c>
      <c r="R13" s="371" t="s">
        <v>378</v>
      </c>
      <c r="S13" s="371" t="s">
        <v>623</v>
      </c>
      <c r="T13" s="372">
        <v>41639</v>
      </c>
      <c r="U13" s="153"/>
      <c r="V13" s="153"/>
      <c r="W13" s="153"/>
      <c r="X13" s="153"/>
      <c r="Y13" s="153"/>
      <c r="Z13" s="153"/>
    </row>
    <row r="14" spans="1:26" s="154" customFormat="1" ht="24">
      <c r="A14" s="550"/>
      <c r="B14" s="553"/>
      <c r="C14" s="155">
        <v>10</v>
      </c>
      <c r="D14" s="539"/>
      <c r="E14" s="166" t="s">
        <v>87</v>
      </c>
      <c r="F14" s="160" t="s">
        <v>397</v>
      </c>
      <c r="G14" s="161"/>
      <c r="H14" s="162"/>
      <c r="I14" s="161"/>
      <c r="J14" s="163">
        <v>1</v>
      </c>
      <c r="K14" s="161"/>
      <c r="L14" s="161">
        <f t="shared" si="1"/>
        <v>0</v>
      </c>
      <c r="M14" s="161"/>
      <c r="N14" s="161"/>
      <c r="O14" s="161"/>
      <c r="P14" s="161"/>
      <c r="Q14" s="161">
        <f t="shared" si="0"/>
        <v>0</v>
      </c>
      <c r="R14" s="371" t="s">
        <v>379</v>
      </c>
      <c r="S14" s="371"/>
      <c r="T14" s="372"/>
      <c r="U14" s="153"/>
      <c r="V14" s="153"/>
      <c r="W14" s="153"/>
      <c r="X14" s="153"/>
      <c r="Y14" s="153"/>
      <c r="Z14" s="153"/>
    </row>
    <row r="15" spans="1:26" s="154" customFormat="1" ht="48">
      <c r="A15" s="550"/>
      <c r="B15" s="553"/>
      <c r="C15" s="155">
        <v>10</v>
      </c>
      <c r="D15" s="539"/>
      <c r="E15" s="166" t="s">
        <v>60</v>
      </c>
      <c r="F15" s="160" t="s">
        <v>398</v>
      </c>
      <c r="G15" s="161"/>
      <c r="H15" s="162"/>
      <c r="I15" s="161"/>
      <c r="J15" s="163">
        <v>33</v>
      </c>
      <c r="K15" s="161"/>
      <c r="L15" s="161">
        <f t="shared" si="1"/>
        <v>0</v>
      </c>
      <c r="M15" s="161"/>
      <c r="N15" s="161"/>
      <c r="O15" s="161"/>
      <c r="P15" s="161"/>
      <c r="Q15" s="161">
        <f t="shared" si="0"/>
        <v>0</v>
      </c>
      <c r="R15" s="371"/>
      <c r="S15" s="371"/>
      <c r="T15" s="152"/>
      <c r="U15" s="153"/>
      <c r="V15" s="153"/>
      <c r="W15" s="153"/>
      <c r="X15" s="153"/>
      <c r="Y15" s="153"/>
      <c r="Z15" s="153"/>
    </row>
    <row r="16" spans="1:26" s="154" customFormat="1" ht="69.75" customHeight="1">
      <c r="A16" s="550"/>
      <c r="B16" s="553"/>
      <c r="C16" s="155">
        <f>SUM(C5:C15)</f>
        <v>100</v>
      </c>
      <c r="D16" s="540"/>
      <c r="E16" s="234" t="s">
        <v>342</v>
      </c>
      <c r="F16" s="162"/>
      <c r="G16" s="161"/>
      <c r="H16" s="162"/>
      <c r="I16" s="161"/>
      <c r="J16" s="163"/>
      <c r="K16" s="161"/>
      <c r="L16" s="161">
        <f t="shared" si="1"/>
        <v>0</v>
      </c>
      <c r="M16" s="161"/>
      <c r="N16" s="161"/>
      <c r="O16" s="161"/>
      <c r="P16" s="161"/>
      <c r="Q16" s="161">
        <f t="shared" si="0"/>
        <v>0</v>
      </c>
      <c r="R16" s="371"/>
      <c r="S16" s="371"/>
      <c r="T16" s="152"/>
      <c r="U16" s="153"/>
      <c r="V16" s="153"/>
      <c r="W16" s="153"/>
      <c r="X16" s="153"/>
      <c r="Y16" s="153"/>
      <c r="Z16" s="153"/>
    </row>
    <row r="17" spans="1:26" s="154" customFormat="1" ht="36.75" customHeight="1">
      <c r="A17" s="550"/>
      <c r="B17" s="553"/>
      <c r="C17" s="155">
        <v>50</v>
      </c>
      <c r="D17" s="541" t="s">
        <v>128</v>
      </c>
      <c r="E17" s="166" t="s">
        <v>88</v>
      </c>
      <c r="F17" s="160" t="s">
        <v>399</v>
      </c>
      <c r="G17" s="161"/>
      <c r="H17" s="162" t="s">
        <v>665</v>
      </c>
      <c r="I17" s="161" t="s">
        <v>632</v>
      </c>
      <c r="J17" s="163">
        <v>1</v>
      </c>
      <c r="K17" s="165"/>
      <c r="L17" s="161">
        <f t="shared" si="1"/>
        <v>5650000</v>
      </c>
      <c r="M17" s="161"/>
      <c r="N17" s="161">
        <v>5600000</v>
      </c>
      <c r="O17" s="161">
        <v>0</v>
      </c>
      <c r="P17" s="161">
        <v>50000</v>
      </c>
      <c r="Q17" s="161">
        <f t="shared" si="0"/>
        <v>5650000</v>
      </c>
      <c r="R17" s="371" t="s">
        <v>723</v>
      </c>
      <c r="S17" s="371"/>
      <c r="T17" s="372">
        <v>30112013</v>
      </c>
      <c r="U17" s="153"/>
      <c r="V17" s="153"/>
      <c r="W17" s="153"/>
      <c r="X17" s="153"/>
      <c r="Y17" s="153"/>
      <c r="Z17" s="153"/>
    </row>
    <row r="18" spans="1:26" s="154" customFormat="1" ht="36">
      <c r="A18" s="550"/>
      <c r="B18" s="553"/>
      <c r="C18" s="155">
        <v>0</v>
      </c>
      <c r="D18" s="542"/>
      <c r="E18" s="166" t="s">
        <v>89</v>
      </c>
      <c r="F18" s="160" t="s">
        <v>400</v>
      </c>
      <c r="G18" s="161"/>
      <c r="H18" s="162"/>
      <c r="I18" s="161"/>
      <c r="J18" s="163">
        <v>0</v>
      </c>
      <c r="K18" s="161"/>
      <c r="L18" s="161">
        <v>0</v>
      </c>
      <c r="M18" s="161"/>
      <c r="N18" s="161" t="s">
        <v>720</v>
      </c>
      <c r="O18" s="161"/>
      <c r="P18" s="161"/>
      <c r="Q18" s="161">
        <f t="shared" si="0"/>
        <v>0</v>
      </c>
      <c r="R18" s="371"/>
      <c r="S18" s="371"/>
      <c r="T18" s="152"/>
      <c r="U18" s="153"/>
      <c r="V18" s="153"/>
      <c r="W18" s="153"/>
      <c r="X18" s="153"/>
      <c r="Y18" s="153"/>
      <c r="Z18" s="153"/>
    </row>
    <row r="19" spans="1:26" s="154" customFormat="1" ht="60">
      <c r="A19" s="550"/>
      <c r="B19" s="553"/>
      <c r="C19" s="155">
        <v>0</v>
      </c>
      <c r="D19" s="542"/>
      <c r="E19" s="245" t="s">
        <v>90</v>
      </c>
      <c r="F19" s="160" t="s">
        <v>401</v>
      </c>
      <c r="G19" s="161"/>
      <c r="H19" s="162"/>
      <c r="I19" s="161"/>
      <c r="J19" s="163">
        <v>0</v>
      </c>
      <c r="K19" s="161"/>
      <c r="L19" s="161">
        <f t="shared" si="1"/>
        <v>0</v>
      </c>
      <c r="M19" s="161"/>
      <c r="N19" s="161"/>
      <c r="O19" s="161"/>
      <c r="P19" s="161"/>
      <c r="Q19" s="161">
        <f t="shared" si="0"/>
        <v>0</v>
      </c>
      <c r="R19" s="371"/>
      <c r="S19" s="371"/>
      <c r="T19" s="152"/>
      <c r="U19" s="153"/>
      <c r="V19" s="153"/>
      <c r="W19" s="153"/>
      <c r="X19" s="153"/>
      <c r="Y19" s="153"/>
      <c r="Z19" s="153"/>
    </row>
    <row r="20" spans="1:26" s="154" customFormat="1" ht="61.5" customHeight="1">
      <c r="A20" s="550"/>
      <c r="B20" s="553"/>
      <c r="C20" s="155">
        <v>10</v>
      </c>
      <c r="D20" s="542"/>
      <c r="E20" s="245" t="s">
        <v>360</v>
      </c>
      <c r="F20" s="160" t="s">
        <v>402</v>
      </c>
      <c r="G20" s="161"/>
      <c r="H20" s="246" t="s">
        <v>666</v>
      </c>
      <c r="I20" s="161" t="s">
        <v>632</v>
      </c>
      <c r="J20" s="163">
        <v>1</v>
      </c>
      <c r="K20" s="161"/>
      <c r="L20" s="161">
        <f t="shared" si="1"/>
        <v>120000000</v>
      </c>
      <c r="M20" s="161"/>
      <c r="N20" s="161"/>
      <c r="O20" s="161"/>
      <c r="P20" s="161">
        <v>120000000</v>
      </c>
      <c r="Q20" s="161">
        <f t="shared" si="0"/>
        <v>120000000</v>
      </c>
      <c r="R20" s="371" t="s">
        <v>724</v>
      </c>
      <c r="S20" s="371"/>
      <c r="T20" s="372"/>
      <c r="U20" s="153"/>
      <c r="V20" s="153"/>
      <c r="W20" s="153"/>
      <c r="X20" s="153"/>
      <c r="Y20" s="153"/>
      <c r="Z20" s="153"/>
    </row>
    <row r="21" spans="1:26" s="154" customFormat="1" ht="140.25">
      <c r="A21" s="550"/>
      <c r="B21" s="553"/>
      <c r="C21" s="155">
        <v>0</v>
      </c>
      <c r="D21" s="542"/>
      <c r="E21" s="166" t="s">
        <v>91</v>
      </c>
      <c r="F21" s="160" t="s">
        <v>403</v>
      </c>
      <c r="G21" s="161"/>
      <c r="H21" s="247" t="s">
        <v>667</v>
      </c>
      <c r="I21" s="161"/>
      <c r="J21" s="163">
        <v>0</v>
      </c>
      <c r="K21" s="161"/>
      <c r="L21" s="161">
        <f t="shared" si="1"/>
        <v>80000000</v>
      </c>
      <c r="M21" s="161"/>
      <c r="N21" s="161">
        <v>0</v>
      </c>
      <c r="O21" s="161">
        <v>0</v>
      </c>
      <c r="P21" s="161">
        <v>80000000</v>
      </c>
      <c r="Q21" s="161">
        <f t="shared" si="0"/>
        <v>80000000</v>
      </c>
      <c r="R21" s="371" t="s">
        <v>725</v>
      </c>
      <c r="S21" s="371"/>
      <c r="T21" s="372"/>
      <c r="U21" s="153"/>
      <c r="V21" s="153"/>
      <c r="W21" s="153"/>
      <c r="X21" s="153"/>
      <c r="Y21" s="153"/>
      <c r="Z21" s="153"/>
    </row>
    <row r="22" spans="1:26" s="154" customFormat="1" ht="48">
      <c r="A22" s="550"/>
      <c r="B22" s="553"/>
      <c r="C22" s="155">
        <v>10</v>
      </c>
      <c r="D22" s="542"/>
      <c r="E22" s="166" t="s">
        <v>92</v>
      </c>
      <c r="F22" s="160" t="s">
        <v>404</v>
      </c>
      <c r="G22" s="161"/>
      <c r="H22" s="162"/>
      <c r="I22" s="161"/>
      <c r="J22" s="163">
        <v>25</v>
      </c>
      <c r="K22" s="161"/>
      <c r="L22" s="161">
        <f t="shared" si="1"/>
        <v>0</v>
      </c>
      <c r="M22" s="161"/>
      <c r="N22" s="161"/>
      <c r="O22" s="161"/>
      <c r="P22" s="161"/>
      <c r="Q22" s="161">
        <f t="shared" si="0"/>
        <v>0</v>
      </c>
      <c r="R22" s="371"/>
      <c r="S22" s="371"/>
      <c r="T22" s="372"/>
      <c r="U22" s="153"/>
      <c r="V22" s="153"/>
      <c r="W22" s="153"/>
      <c r="X22" s="153"/>
      <c r="Y22" s="153"/>
      <c r="Z22" s="153"/>
    </row>
    <row r="23" spans="1:26" s="154" customFormat="1" ht="48">
      <c r="A23" s="550"/>
      <c r="B23" s="553"/>
      <c r="C23" s="155">
        <v>0</v>
      </c>
      <c r="D23" s="542"/>
      <c r="E23" s="166" t="s">
        <v>93</v>
      </c>
      <c r="F23" s="160" t="s">
        <v>405</v>
      </c>
      <c r="G23" s="161"/>
      <c r="H23" s="162"/>
      <c r="I23" s="161"/>
      <c r="J23" s="163">
        <v>0</v>
      </c>
      <c r="K23" s="161"/>
      <c r="L23" s="161">
        <f t="shared" si="1"/>
        <v>0</v>
      </c>
      <c r="M23" s="161"/>
      <c r="N23" s="161"/>
      <c r="O23" s="161"/>
      <c r="P23" s="161"/>
      <c r="Q23" s="161">
        <f t="shared" si="0"/>
        <v>0</v>
      </c>
      <c r="R23" s="371"/>
      <c r="S23" s="371"/>
      <c r="T23" s="372"/>
      <c r="U23" s="153"/>
      <c r="V23" s="153"/>
      <c r="W23" s="153"/>
      <c r="X23" s="153"/>
      <c r="Y23" s="153"/>
      <c r="Z23" s="153"/>
    </row>
    <row r="24" spans="1:26" s="154" customFormat="1" ht="60">
      <c r="A24" s="550"/>
      <c r="B24" s="553"/>
      <c r="C24" s="155">
        <v>0</v>
      </c>
      <c r="D24" s="542"/>
      <c r="E24" s="166" t="s">
        <v>94</v>
      </c>
      <c r="F24" s="160" t="s">
        <v>406</v>
      </c>
      <c r="G24" s="161"/>
      <c r="H24" s="162"/>
      <c r="I24" s="161"/>
      <c r="J24" s="163">
        <v>0</v>
      </c>
      <c r="K24" s="161"/>
      <c r="L24" s="161">
        <f t="shared" si="1"/>
        <v>0</v>
      </c>
      <c r="M24" s="161"/>
      <c r="N24" s="161"/>
      <c r="O24" s="161"/>
      <c r="P24" s="161"/>
      <c r="Q24" s="161">
        <f t="shared" si="0"/>
        <v>0</v>
      </c>
      <c r="R24" s="371"/>
      <c r="S24" s="371"/>
      <c r="T24" s="372"/>
      <c r="U24" s="153"/>
      <c r="V24" s="153"/>
      <c r="W24" s="153"/>
      <c r="X24" s="153"/>
      <c r="Y24" s="153"/>
      <c r="Z24" s="153"/>
    </row>
    <row r="25" spans="1:26" s="154" customFormat="1" ht="108">
      <c r="A25" s="550"/>
      <c r="B25" s="553"/>
      <c r="C25" s="155">
        <v>20</v>
      </c>
      <c r="D25" s="542"/>
      <c r="E25" s="166" t="s">
        <v>95</v>
      </c>
      <c r="F25" s="160" t="s">
        <v>407</v>
      </c>
      <c r="G25" s="161"/>
      <c r="H25" s="162"/>
      <c r="I25" s="161"/>
      <c r="J25" s="163">
        <v>60</v>
      </c>
      <c r="K25" s="161"/>
      <c r="L25" s="161">
        <f t="shared" si="1"/>
        <v>0</v>
      </c>
      <c r="M25" s="161"/>
      <c r="N25" s="161"/>
      <c r="O25" s="161"/>
      <c r="P25" s="161"/>
      <c r="Q25" s="161">
        <f t="shared" si="0"/>
        <v>0</v>
      </c>
      <c r="R25" s="371"/>
      <c r="S25" s="371"/>
      <c r="T25" s="372"/>
      <c r="U25" s="153"/>
      <c r="V25" s="153"/>
      <c r="W25" s="153"/>
      <c r="X25" s="153"/>
      <c r="Y25" s="153"/>
      <c r="Z25" s="153"/>
    </row>
    <row r="26" spans="1:26" s="154" customFormat="1" ht="72">
      <c r="A26" s="550"/>
      <c r="B26" s="553"/>
      <c r="C26" s="155">
        <v>10</v>
      </c>
      <c r="D26" s="542"/>
      <c r="E26" s="166" t="s">
        <v>96</v>
      </c>
      <c r="F26" s="160" t="s">
        <v>408</v>
      </c>
      <c r="G26" s="161"/>
      <c r="H26" s="162"/>
      <c r="I26" s="161"/>
      <c r="J26" s="167">
        <v>0.05</v>
      </c>
      <c r="K26" s="161"/>
      <c r="L26" s="161">
        <f t="shared" si="1"/>
        <v>0</v>
      </c>
      <c r="M26" s="161"/>
      <c r="N26" s="161"/>
      <c r="O26" s="161"/>
      <c r="P26" s="161"/>
      <c r="Q26" s="161">
        <f t="shared" si="0"/>
        <v>0</v>
      </c>
      <c r="R26" s="371"/>
      <c r="S26" s="371"/>
      <c r="T26" s="372"/>
      <c r="U26" s="153"/>
      <c r="V26" s="153"/>
      <c r="W26" s="153"/>
      <c r="X26" s="153"/>
      <c r="Y26" s="153"/>
      <c r="Z26" s="153"/>
    </row>
    <row r="27" spans="1:26" s="154" customFormat="1" ht="15">
      <c r="A27" s="550"/>
      <c r="B27" s="553"/>
      <c r="C27" s="155">
        <f>SUM(C17:C26)</f>
        <v>100</v>
      </c>
      <c r="D27" s="543"/>
      <c r="E27" s="234" t="s">
        <v>342</v>
      </c>
      <c r="F27" s="162"/>
      <c r="G27" s="161"/>
      <c r="H27" s="162"/>
      <c r="I27" s="161"/>
      <c r="J27" s="163"/>
      <c r="K27" s="161"/>
      <c r="L27" s="161">
        <f t="shared" si="1"/>
        <v>0</v>
      </c>
      <c r="M27" s="161"/>
      <c r="N27" s="161"/>
      <c r="O27" s="161"/>
      <c r="P27" s="161"/>
      <c r="Q27" s="161">
        <f t="shared" si="0"/>
        <v>0</v>
      </c>
      <c r="R27" s="371"/>
      <c r="S27" s="371"/>
      <c r="T27" s="372"/>
      <c r="U27" s="153"/>
      <c r="V27" s="153"/>
      <c r="W27" s="153"/>
      <c r="X27" s="153"/>
      <c r="Y27" s="153"/>
      <c r="Z27" s="153"/>
    </row>
    <row r="28" spans="1:26" s="227" customFormat="1" ht="15">
      <c r="A28" s="550"/>
      <c r="B28" s="553"/>
      <c r="C28" s="223"/>
      <c r="D28" s="544" t="s">
        <v>24</v>
      </c>
      <c r="E28" s="545"/>
      <c r="F28" s="150"/>
      <c r="G28" s="224"/>
      <c r="H28" s="150"/>
      <c r="I28" s="224"/>
      <c r="J28" s="225"/>
      <c r="K28" s="224"/>
      <c r="L28" s="224">
        <f t="shared" si="1"/>
        <v>0</v>
      </c>
      <c r="M28" s="224"/>
      <c r="N28" s="224"/>
      <c r="O28" s="224"/>
      <c r="P28" s="224"/>
      <c r="Q28" s="224">
        <f t="shared" si="0"/>
        <v>0</v>
      </c>
      <c r="R28" s="108"/>
      <c r="S28" s="120"/>
      <c r="T28" s="374"/>
      <c r="U28" s="121"/>
      <c r="V28" s="121"/>
      <c r="W28" s="226"/>
      <c r="X28" s="226"/>
      <c r="Y28" s="226"/>
      <c r="Z28" s="226"/>
    </row>
    <row r="29" spans="1:26" s="158" customFormat="1" ht="48">
      <c r="A29" s="550"/>
      <c r="B29" s="553"/>
      <c r="C29" s="156">
        <v>10</v>
      </c>
      <c r="D29" s="546" t="s">
        <v>129</v>
      </c>
      <c r="E29" s="89" t="s">
        <v>99</v>
      </c>
      <c r="F29" s="248" t="s">
        <v>409</v>
      </c>
      <c r="G29" s="150"/>
      <c r="H29" s="150" t="s">
        <v>375</v>
      </c>
      <c r="I29" s="224" t="s">
        <v>375</v>
      </c>
      <c r="J29" s="225">
        <v>620</v>
      </c>
      <c r="K29" s="225">
        <v>620</v>
      </c>
      <c r="L29" s="224">
        <f t="shared" si="1"/>
        <v>229207519</v>
      </c>
      <c r="M29" s="249">
        <v>0</v>
      </c>
      <c r="N29" s="250">
        <f>105140619+3140000</f>
        <v>108280619</v>
      </c>
      <c r="O29" s="224"/>
      <c r="P29" s="250">
        <f>108926900+2000000+10000000</f>
        <v>120926900</v>
      </c>
      <c r="Q29" s="224">
        <f t="shared" si="0"/>
        <v>229207519</v>
      </c>
      <c r="R29" s="375" t="s">
        <v>726</v>
      </c>
      <c r="S29" s="375" t="s">
        <v>615</v>
      </c>
      <c r="T29" s="376"/>
      <c r="U29" s="157"/>
      <c r="V29" s="157"/>
      <c r="W29" s="157"/>
      <c r="X29" s="157"/>
      <c r="Y29" s="157"/>
      <c r="Z29" s="157"/>
    </row>
    <row r="30" spans="1:26" s="158" customFormat="1" ht="144">
      <c r="A30" s="550"/>
      <c r="B30" s="553"/>
      <c r="C30" s="156">
        <v>10</v>
      </c>
      <c r="D30" s="547"/>
      <c r="E30" s="89" t="s">
        <v>97</v>
      </c>
      <c r="F30" s="248" t="s">
        <v>410</v>
      </c>
      <c r="G30" s="224"/>
      <c r="H30" s="150" t="s">
        <v>705</v>
      </c>
      <c r="I30" s="224" t="s">
        <v>524</v>
      </c>
      <c r="J30" s="251">
        <v>1</v>
      </c>
      <c r="K30" s="251">
        <v>0.5</v>
      </c>
      <c r="L30" s="224">
        <f t="shared" si="1"/>
        <v>0</v>
      </c>
      <c r="M30" s="224"/>
      <c r="N30" s="224">
        <v>0</v>
      </c>
      <c r="O30" s="224"/>
      <c r="P30" s="224"/>
      <c r="Q30" s="224">
        <f t="shared" si="0"/>
        <v>0</v>
      </c>
      <c r="R30" s="375" t="s">
        <v>727</v>
      </c>
      <c r="S30" s="375" t="s">
        <v>620</v>
      </c>
      <c r="T30" s="376"/>
      <c r="U30" s="157"/>
      <c r="V30" s="157"/>
      <c r="W30" s="157"/>
      <c r="X30" s="157"/>
      <c r="Y30" s="157"/>
      <c r="Z30" s="157"/>
    </row>
    <row r="31" spans="1:26" s="158" customFormat="1" ht="48">
      <c r="A31" s="550"/>
      <c r="B31" s="553"/>
      <c r="C31" s="156">
        <v>10</v>
      </c>
      <c r="D31" s="547"/>
      <c r="E31" s="89" t="s">
        <v>361</v>
      </c>
      <c r="F31" s="248" t="s">
        <v>415</v>
      </c>
      <c r="G31" s="224"/>
      <c r="H31" s="150" t="s">
        <v>375</v>
      </c>
      <c r="I31" s="224" t="s">
        <v>375</v>
      </c>
      <c r="J31" s="251">
        <v>1</v>
      </c>
      <c r="K31" s="251"/>
      <c r="L31" s="224">
        <f t="shared" si="1"/>
        <v>300000</v>
      </c>
      <c r="M31" s="224"/>
      <c r="N31" s="224">
        <v>300000</v>
      </c>
      <c r="O31" s="224"/>
      <c r="P31" s="224">
        <v>0</v>
      </c>
      <c r="Q31" s="224">
        <f t="shared" si="0"/>
        <v>300000</v>
      </c>
      <c r="R31" s="375"/>
      <c r="S31" s="375" t="s">
        <v>615</v>
      </c>
      <c r="T31" s="376">
        <v>41639</v>
      </c>
      <c r="U31" s="157"/>
      <c r="V31" s="157"/>
      <c r="W31" s="157"/>
      <c r="X31" s="157"/>
      <c r="Y31" s="157"/>
      <c r="Z31" s="157"/>
    </row>
    <row r="32" spans="1:26" s="158" customFormat="1" ht="48">
      <c r="A32" s="550"/>
      <c r="B32" s="553"/>
      <c r="C32" s="156">
        <v>10</v>
      </c>
      <c r="D32" s="547"/>
      <c r="E32" s="89" t="s">
        <v>100</v>
      </c>
      <c r="F32" s="248" t="s">
        <v>411</v>
      </c>
      <c r="G32" s="224"/>
      <c r="H32" s="150" t="s">
        <v>375</v>
      </c>
      <c r="I32" s="224" t="s">
        <v>375</v>
      </c>
      <c r="J32" s="251">
        <v>1</v>
      </c>
      <c r="K32" s="251"/>
      <c r="L32" s="224">
        <f t="shared" si="1"/>
        <v>242000</v>
      </c>
      <c r="M32" s="224"/>
      <c r="N32" s="224">
        <v>200000</v>
      </c>
      <c r="O32" s="224"/>
      <c r="P32" s="224">
        <v>42000</v>
      </c>
      <c r="Q32" s="224">
        <f t="shared" si="0"/>
        <v>242000</v>
      </c>
      <c r="R32" s="375"/>
      <c r="S32" s="375" t="s">
        <v>615</v>
      </c>
      <c r="T32" s="376">
        <v>41639</v>
      </c>
      <c r="U32" s="157"/>
      <c r="V32" s="157"/>
      <c r="W32" s="157"/>
      <c r="X32" s="157"/>
      <c r="Y32" s="157"/>
      <c r="Z32" s="157"/>
    </row>
    <row r="33" spans="1:26" s="158" customFormat="1" ht="36">
      <c r="A33" s="550"/>
      <c r="B33" s="553"/>
      <c r="C33" s="156">
        <v>5</v>
      </c>
      <c r="D33" s="547"/>
      <c r="E33" s="89" t="s">
        <v>101</v>
      </c>
      <c r="F33" s="248" t="s">
        <v>412</v>
      </c>
      <c r="G33" s="224"/>
      <c r="H33" s="150" t="s">
        <v>375</v>
      </c>
      <c r="I33" s="224" t="s">
        <v>375</v>
      </c>
      <c r="J33" s="251">
        <v>1</v>
      </c>
      <c r="K33" s="251"/>
      <c r="L33" s="224">
        <f t="shared" si="1"/>
        <v>500000</v>
      </c>
      <c r="M33" s="224"/>
      <c r="N33" s="224">
        <v>500000</v>
      </c>
      <c r="O33" s="224"/>
      <c r="P33" s="224"/>
      <c r="Q33" s="224">
        <f t="shared" si="0"/>
        <v>500000</v>
      </c>
      <c r="R33" s="375"/>
      <c r="S33" s="375" t="s">
        <v>615</v>
      </c>
      <c r="T33" s="376">
        <v>41639</v>
      </c>
      <c r="U33" s="157"/>
      <c r="V33" s="157"/>
      <c r="W33" s="157"/>
      <c r="X33" s="157"/>
      <c r="Y33" s="157"/>
      <c r="Z33" s="157"/>
    </row>
    <row r="34" spans="1:26" s="158" customFormat="1" ht="48">
      <c r="A34" s="550"/>
      <c r="B34" s="553"/>
      <c r="C34" s="156">
        <v>5</v>
      </c>
      <c r="D34" s="547"/>
      <c r="E34" s="89" t="s">
        <v>25</v>
      </c>
      <c r="F34" s="248" t="s">
        <v>413</v>
      </c>
      <c r="G34" s="224"/>
      <c r="H34" s="150"/>
      <c r="I34" s="224"/>
      <c r="J34" s="251">
        <v>1</v>
      </c>
      <c r="K34" s="224"/>
      <c r="L34" s="224">
        <f t="shared" si="1"/>
        <v>0</v>
      </c>
      <c r="M34" s="224"/>
      <c r="N34" s="224">
        <v>0</v>
      </c>
      <c r="O34" s="224"/>
      <c r="P34" s="224"/>
      <c r="Q34" s="224">
        <f t="shared" si="0"/>
        <v>0</v>
      </c>
      <c r="R34" s="375"/>
      <c r="S34" s="375" t="s">
        <v>615</v>
      </c>
      <c r="T34" s="376">
        <v>41639</v>
      </c>
      <c r="U34" s="157"/>
      <c r="V34" s="157"/>
      <c r="W34" s="157"/>
      <c r="X34" s="157"/>
      <c r="Y34" s="157"/>
      <c r="Z34" s="157"/>
    </row>
    <row r="35" spans="1:26" s="158" customFormat="1" ht="96">
      <c r="A35" s="550"/>
      <c r="B35" s="553"/>
      <c r="C35" s="156">
        <v>5</v>
      </c>
      <c r="D35" s="547"/>
      <c r="E35" s="89" t="s">
        <v>102</v>
      </c>
      <c r="F35" s="248" t="s">
        <v>414</v>
      </c>
      <c r="G35" s="224"/>
      <c r="H35" s="150"/>
      <c r="I35" s="224"/>
      <c r="J35" s="251">
        <v>0.25</v>
      </c>
      <c r="K35" s="224"/>
      <c r="L35" s="224">
        <f t="shared" si="1"/>
        <v>100000</v>
      </c>
      <c r="M35" s="224"/>
      <c r="N35" s="224">
        <v>100000</v>
      </c>
      <c r="O35" s="224"/>
      <c r="P35" s="224"/>
      <c r="Q35" s="224">
        <f t="shared" si="0"/>
        <v>100000</v>
      </c>
      <c r="R35" s="375"/>
      <c r="S35" s="375" t="s">
        <v>615</v>
      </c>
      <c r="T35" s="376">
        <v>41639</v>
      </c>
      <c r="U35" s="157"/>
      <c r="V35" s="157"/>
      <c r="W35" s="157"/>
      <c r="X35" s="157"/>
      <c r="Y35" s="157"/>
      <c r="Z35" s="157"/>
    </row>
    <row r="36" spans="1:26" s="158" customFormat="1" ht="108">
      <c r="A36" s="550"/>
      <c r="B36" s="553"/>
      <c r="C36" s="156">
        <v>5</v>
      </c>
      <c r="D36" s="547"/>
      <c r="E36" s="89" t="s">
        <v>318</v>
      </c>
      <c r="F36" s="248" t="s">
        <v>416</v>
      </c>
      <c r="G36" s="224"/>
      <c r="H36" s="150" t="s">
        <v>375</v>
      </c>
      <c r="I36" s="224" t="s">
        <v>375</v>
      </c>
      <c r="J36" s="251">
        <v>0.15</v>
      </c>
      <c r="K36" s="224">
        <v>0</v>
      </c>
      <c r="L36" s="224">
        <f t="shared" si="1"/>
        <v>300000</v>
      </c>
      <c r="M36" s="224"/>
      <c r="N36" s="224">
        <v>300000</v>
      </c>
      <c r="O36" s="224"/>
      <c r="P36" s="224"/>
      <c r="Q36" s="224">
        <f t="shared" si="0"/>
        <v>300000</v>
      </c>
      <c r="R36" s="375"/>
      <c r="S36" s="375" t="s">
        <v>615</v>
      </c>
      <c r="T36" s="376">
        <v>41639</v>
      </c>
      <c r="U36" s="157"/>
      <c r="V36" s="157"/>
      <c r="W36" s="157"/>
      <c r="X36" s="157"/>
      <c r="Y36" s="157"/>
      <c r="Z36" s="157"/>
    </row>
    <row r="37" spans="1:26" s="158" customFormat="1" ht="72">
      <c r="A37" s="550"/>
      <c r="B37" s="553"/>
      <c r="C37" s="156">
        <v>5</v>
      </c>
      <c r="D37" s="547"/>
      <c r="E37" s="89" t="s">
        <v>319</v>
      </c>
      <c r="F37" s="248" t="s">
        <v>417</v>
      </c>
      <c r="G37" s="224"/>
      <c r="H37" s="150" t="s">
        <v>375</v>
      </c>
      <c r="I37" s="224" t="s">
        <v>375</v>
      </c>
      <c r="J37" s="225">
        <v>1</v>
      </c>
      <c r="K37" s="224"/>
      <c r="L37" s="224">
        <f t="shared" si="1"/>
        <v>300000</v>
      </c>
      <c r="M37" s="224"/>
      <c r="N37" s="224">
        <v>300000</v>
      </c>
      <c r="O37" s="224"/>
      <c r="P37" s="224"/>
      <c r="Q37" s="224">
        <f t="shared" si="0"/>
        <v>300000</v>
      </c>
      <c r="R37" s="375"/>
      <c r="S37" s="375" t="s">
        <v>615</v>
      </c>
      <c r="T37" s="376">
        <v>41639</v>
      </c>
      <c r="U37" s="157"/>
      <c r="V37" s="157"/>
      <c r="W37" s="157"/>
      <c r="X37" s="157"/>
      <c r="Y37" s="157"/>
      <c r="Z37" s="157"/>
    </row>
    <row r="38" spans="1:26" s="158" customFormat="1" ht="60">
      <c r="A38" s="550"/>
      <c r="B38" s="553"/>
      <c r="C38" s="156">
        <v>5</v>
      </c>
      <c r="D38" s="547"/>
      <c r="E38" s="89" t="s">
        <v>320</v>
      </c>
      <c r="F38" s="248" t="s">
        <v>418</v>
      </c>
      <c r="G38" s="224"/>
      <c r="H38" s="150"/>
      <c r="I38" s="224"/>
      <c r="J38" s="225">
        <v>5</v>
      </c>
      <c r="K38" s="224"/>
      <c r="L38" s="224">
        <f t="shared" si="1"/>
        <v>0</v>
      </c>
      <c r="M38" s="224"/>
      <c r="N38" s="224"/>
      <c r="O38" s="224"/>
      <c r="P38" s="224"/>
      <c r="Q38" s="224">
        <f t="shared" si="0"/>
        <v>0</v>
      </c>
      <c r="R38" s="375"/>
      <c r="S38" s="375"/>
      <c r="T38" s="376">
        <v>41639</v>
      </c>
      <c r="U38" s="157"/>
      <c r="V38" s="157"/>
      <c r="W38" s="157"/>
      <c r="X38" s="157"/>
      <c r="Y38" s="157"/>
      <c r="Z38" s="157"/>
    </row>
    <row r="39" spans="1:26" s="158" customFormat="1" ht="96">
      <c r="A39" s="550"/>
      <c r="B39" s="553"/>
      <c r="C39" s="156">
        <v>5</v>
      </c>
      <c r="D39" s="547"/>
      <c r="E39" s="89" t="s">
        <v>321</v>
      </c>
      <c r="F39" s="248" t="s">
        <v>419</v>
      </c>
      <c r="G39" s="224"/>
      <c r="H39" s="150"/>
      <c r="I39" s="224"/>
      <c r="J39" s="251">
        <v>0.25</v>
      </c>
      <c r="K39" s="224"/>
      <c r="L39" s="224">
        <f t="shared" si="1"/>
        <v>500000</v>
      </c>
      <c r="M39" s="224"/>
      <c r="N39" s="224">
        <v>500000</v>
      </c>
      <c r="O39" s="224"/>
      <c r="P39" s="224"/>
      <c r="Q39" s="224">
        <f t="shared" si="0"/>
        <v>500000</v>
      </c>
      <c r="R39" s="375"/>
      <c r="S39" s="375"/>
      <c r="T39" s="376">
        <v>41639</v>
      </c>
      <c r="U39" s="157"/>
      <c r="V39" s="157"/>
      <c r="W39" s="157"/>
      <c r="X39" s="157"/>
      <c r="Y39" s="157"/>
      <c r="Z39" s="157"/>
    </row>
    <row r="40" spans="1:26" s="158" customFormat="1" ht="48.75" customHeight="1">
      <c r="A40" s="550"/>
      <c r="B40" s="553"/>
      <c r="C40" s="156">
        <v>5</v>
      </c>
      <c r="D40" s="547"/>
      <c r="E40" s="89" t="s">
        <v>322</v>
      </c>
      <c r="F40" s="248" t="s">
        <v>420</v>
      </c>
      <c r="G40" s="224"/>
      <c r="H40" s="150"/>
      <c r="I40" s="224"/>
      <c r="J40" s="225">
        <v>5</v>
      </c>
      <c r="K40" s="224"/>
      <c r="L40" s="224">
        <f t="shared" si="1"/>
        <v>0</v>
      </c>
      <c r="M40" s="224"/>
      <c r="N40" s="224"/>
      <c r="O40" s="224"/>
      <c r="P40" s="224"/>
      <c r="Q40" s="224">
        <f t="shared" si="0"/>
        <v>0</v>
      </c>
      <c r="R40" s="375"/>
      <c r="S40" s="375"/>
      <c r="T40" s="376">
        <v>41639</v>
      </c>
      <c r="U40" s="157"/>
      <c r="V40" s="157"/>
      <c r="W40" s="157"/>
      <c r="X40" s="157"/>
      <c r="Y40" s="157"/>
      <c r="Z40" s="157"/>
    </row>
    <row r="41" spans="1:26" s="158" customFormat="1" ht="72">
      <c r="A41" s="550"/>
      <c r="B41" s="553"/>
      <c r="C41" s="156">
        <v>5</v>
      </c>
      <c r="D41" s="547"/>
      <c r="E41" s="89" t="s">
        <v>323</v>
      </c>
      <c r="F41" s="248" t="s">
        <v>421</v>
      </c>
      <c r="G41" s="224"/>
      <c r="H41" s="150"/>
      <c r="I41" s="224"/>
      <c r="J41" s="251">
        <v>0.25</v>
      </c>
      <c r="K41" s="224"/>
      <c r="L41" s="224">
        <f t="shared" si="1"/>
        <v>0</v>
      </c>
      <c r="M41" s="224"/>
      <c r="N41" s="224"/>
      <c r="O41" s="224"/>
      <c r="P41" s="224"/>
      <c r="Q41" s="224">
        <f t="shared" si="0"/>
        <v>0</v>
      </c>
      <c r="R41" s="375"/>
      <c r="S41" s="375"/>
      <c r="T41" s="376">
        <v>41639</v>
      </c>
      <c r="U41" s="157"/>
      <c r="V41" s="157"/>
      <c r="W41" s="157"/>
      <c r="X41" s="157"/>
      <c r="Y41" s="157"/>
      <c r="Z41" s="157"/>
    </row>
    <row r="42" spans="1:26" s="158" customFormat="1" ht="60">
      <c r="A42" s="550"/>
      <c r="B42" s="553"/>
      <c r="C42" s="156">
        <v>5</v>
      </c>
      <c r="D42" s="547"/>
      <c r="E42" s="89" t="s">
        <v>324</v>
      </c>
      <c r="F42" s="248" t="s">
        <v>422</v>
      </c>
      <c r="G42" s="224"/>
      <c r="H42" s="150"/>
      <c r="I42" s="224"/>
      <c r="J42" s="225">
        <v>100</v>
      </c>
      <c r="K42" s="224"/>
      <c r="L42" s="224">
        <f t="shared" si="1"/>
        <v>200000</v>
      </c>
      <c r="M42" s="224"/>
      <c r="N42" s="224">
        <v>200000</v>
      </c>
      <c r="O42" s="224"/>
      <c r="P42" s="224"/>
      <c r="Q42" s="224">
        <f t="shared" si="0"/>
        <v>200000</v>
      </c>
      <c r="R42" s="375"/>
      <c r="S42" s="375"/>
      <c r="T42" s="376">
        <v>41639</v>
      </c>
      <c r="U42" s="157"/>
      <c r="V42" s="157"/>
      <c r="W42" s="157"/>
      <c r="X42" s="157"/>
      <c r="Y42" s="157"/>
      <c r="Z42" s="157"/>
    </row>
    <row r="43" spans="1:26" s="158" customFormat="1" ht="60">
      <c r="A43" s="550"/>
      <c r="B43" s="553"/>
      <c r="C43" s="156">
        <v>5</v>
      </c>
      <c r="D43" s="547"/>
      <c r="E43" s="89" t="s">
        <v>325</v>
      </c>
      <c r="F43" s="248" t="s">
        <v>423</v>
      </c>
      <c r="G43" s="224"/>
      <c r="H43" s="150"/>
      <c r="I43" s="224"/>
      <c r="J43" s="251">
        <v>1</v>
      </c>
      <c r="K43" s="224"/>
      <c r="L43" s="224">
        <f t="shared" si="1"/>
        <v>500000</v>
      </c>
      <c r="M43" s="224"/>
      <c r="N43" s="224">
        <v>500000</v>
      </c>
      <c r="O43" s="224"/>
      <c r="P43" s="224"/>
      <c r="Q43" s="224">
        <f t="shared" si="0"/>
        <v>500000</v>
      </c>
      <c r="R43" s="375"/>
      <c r="S43" s="375"/>
      <c r="T43" s="376">
        <v>41639</v>
      </c>
      <c r="U43" s="157"/>
      <c r="V43" s="157"/>
      <c r="W43" s="157"/>
      <c r="X43" s="157"/>
      <c r="Y43" s="157"/>
      <c r="Z43" s="157"/>
    </row>
    <row r="44" spans="1:26" s="158" customFormat="1" ht="120.75">
      <c r="A44" s="550"/>
      <c r="B44" s="553"/>
      <c r="C44" s="156">
        <v>5</v>
      </c>
      <c r="D44" s="547"/>
      <c r="E44" s="252" t="s">
        <v>326</v>
      </c>
      <c r="F44" s="248" t="s">
        <v>424</v>
      </c>
      <c r="G44" s="224"/>
      <c r="H44" s="150"/>
      <c r="I44" s="224"/>
      <c r="J44" s="225">
        <v>50</v>
      </c>
      <c r="K44" s="224"/>
      <c r="L44" s="224">
        <f t="shared" si="1"/>
        <v>200000</v>
      </c>
      <c r="M44" s="224"/>
      <c r="N44" s="224">
        <v>200000</v>
      </c>
      <c r="O44" s="224">
        <f>+P44</f>
        <v>0</v>
      </c>
      <c r="P44" s="224"/>
      <c r="Q44" s="224">
        <f t="shared" si="0"/>
        <v>200000</v>
      </c>
      <c r="R44" s="375"/>
      <c r="S44" s="375"/>
      <c r="T44" s="376">
        <v>41639</v>
      </c>
      <c r="U44" s="157"/>
      <c r="V44" s="157"/>
      <c r="W44" s="157"/>
      <c r="X44" s="157"/>
      <c r="Y44" s="157"/>
      <c r="Z44" s="157"/>
    </row>
    <row r="45" spans="1:26" s="158" customFormat="1" ht="15" customHeight="1">
      <c r="A45" s="550"/>
      <c r="B45" s="553"/>
      <c r="C45" s="156">
        <f>SUM(C29:C44)</f>
        <v>100</v>
      </c>
      <c r="D45" s="548"/>
      <c r="E45" s="253" t="s">
        <v>342</v>
      </c>
      <c r="F45" s="248"/>
      <c r="G45" s="224"/>
      <c r="H45" s="150"/>
      <c r="I45" s="224"/>
      <c r="J45" s="225"/>
      <c r="K45" s="224"/>
      <c r="L45" s="224">
        <f t="shared" si="1"/>
        <v>0</v>
      </c>
      <c r="M45" s="224"/>
      <c r="N45" s="224"/>
      <c r="O45" s="224"/>
      <c r="P45" s="224"/>
      <c r="Q45" s="224">
        <f t="shared" si="0"/>
        <v>0</v>
      </c>
      <c r="R45" s="375"/>
      <c r="S45" s="375"/>
      <c r="T45" s="376">
        <v>41639</v>
      </c>
      <c r="U45" s="157"/>
      <c r="V45" s="157"/>
      <c r="W45" s="157"/>
      <c r="X45" s="157"/>
      <c r="Y45" s="157"/>
      <c r="Z45" s="157"/>
    </row>
    <row r="46" spans="1:26" s="158" customFormat="1" ht="96.75">
      <c r="A46" s="550"/>
      <c r="B46" s="553"/>
      <c r="C46" s="156">
        <v>5</v>
      </c>
      <c r="D46" s="406" t="s">
        <v>126</v>
      </c>
      <c r="E46" s="89" t="s">
        <v>261</v>
      </c>
      <c r="F46" s="248" t="s">
        <v>425</v>
      </c>
      <c r="G46" s="224"/>
      <c r="H46" s="150"/>
      <c r="I46" s="224"/>
      <c r="J46" s="225">
        <v>25</v>
      </c>
      <c r="K46" s="224"/>
      <c r="L46" s="224">
        <f t="shared" si="1"/>
        <v>200000</v>
      </c>
      <c r="M46" s="224"/>
      <c r="N46" s="224">
        <v>200000</v>
      </c>
      <c r="O46" s="224"/>
      <c r="P46" s="224"/>
      <c r="Q46" s="224">
        <f t="shared" si="0"/>
        <v>200000</v>
      </c>
      <c r="R46" s="375"/>
      <c r="S46" s="375"/>
      <c r="T46" s="376">
        <v>41639</v>
      </c>
      <c r="U46" s="157"/>
      <c r="V46" s="157"/>
      <c r="W46" s="157"/>
      <c r="X46" s="157"/>
      <c r="Y46" s="157"/>
      <c r="Z46" s="157"/>
    </row>
    <row r="47" spans="1:26" s="158" customFormat="1" ht="48.75">
      <c r="A47" s="550"/>
      <c r="B47" s="553"/>
      <c r="C47" s="156">
        <v>5</v>
      </c>
      <c r="D47" s="408"/>
      <c r="E47" s="89" t="s">
        <v>103</v>
      </c>
      <c r="F47" s="248" t="s">
        <v>426</v>
      </c>
      <c r="G47" s="224"/>
      <c r="H47" s="150"/>
      <c r="I47" s="224"/>
      <c r="J47" s="225">
        <v>100</v>
      </c>
      <c r="K47" s="224"/>
      <c r="L47" s="224">
        <f t="shared" si="1"/>
        <v>200000</v>
      </c>
      <c r="M47" s="224"/>
      <c r="N47" s="224">
        <v>200000</v>
      </c>
      <c r="O47" s="224"/>
      <c r="P47" s="224"/>
      <c r="Q47" s="224">
        <f t="shared" si="0"/>
        <v>200000</v>
      </c>
      <c r="R47" s="375"/>
      <c r="S47" s="375"/>
      <c r="T47" s="376">
        <v>41639</v>
      </c>
      <c r="U47" s="157"/>
      <c r="V47" s="157"/>
      <c r="W47" s="157"/>
      <c r="X47" s="157"/>
      <c r="Y47" s="157"/>
      <c r="Z47" s="157"/>
    </row>
    <row r="48" spans="1:26" s="158" customFormat="1" ht="96.75">
      <c r="A48" s="550"/>
      <c r="B48" s="553"/>
      <c r="C48" s="156">
        <v>3</v>
      </c>
      <c r="D48" s="408"/>
      <c r="E48" s="89" t="s">
        <v>327</v>
      </c>
      <c r="F48" s="248" t="s">
        <v>427</v>
      </c>
      <c r="G48" s="224"/>
      <c r="H48" s="150"/>
      <c r="I48" s="224"/>
      <c r="J48" s="225">
        <v>4</v>
      </c>
      <c r="K48" s="224"/>
      <c r="L48" s="224">
        <f t="shared" si="1"/>
        <v>200000</v>
      </c>
      <c r="M48" s="224"/>
      <c r="N48" s="224">
        <v>200000</v>
      </c>
      <c r="O48" s="224"/>
      <c r="P48" s="224"/>
      <c r="Q48" s="224">
        <f t="shared" si="0"/>
        <v>200000</v>
      </c>
      <c r="R48" s="375"/>
      <c r="S48" s="375"/>
      <c r="T48" s="376">
        <v>41639</v>
      </c>
      <c r="U48" s="157"/>
      <c r="V48" s="157"/>
      <c r="W48" s="157"/>
      <c r="X48" s="157"/>
      <c r="Y48" s="157"/>
      <c r="Z48" s="157"/>
    </row>
    <row r="49" spans="1:26" s="158" customFormat="1" ht="132.75" customHeight="1">
      <c r="A49" s="550"/>
      <c r="B49" s="553"/>
      <c r="C49" s="156">
        <v>2</v>
      </c>
      <c r="D49" s="408"/>
      <c r="E49" s="252" t="s">
        <v>104</v>
      </c>
      <c r="F49" s="248" t="s">
        <v>428</v>
      </c>
      <c r="G49" s="224"/>
      <c r="H49" s="150"/>
      <c r="I49" s="224"/>
      <c r="J49" s="225">
        <v>2</v>
      </c>
      <c r="K49" s="224"/>
      <c r="L49" s="224">
        <f t="shared" si="1"/>
        <v>300000</v>
      </c>
      <c r="M49" s="224"/>
      <c r="N49" s="224">
        <v>300000</v>
      </c>
      <c r="O49" s="224"/>
      <c r="P49" s="224"/>
      <c r="Q49" s="224">
        <f t="shared" si="0"/>
        <v>300000</v>
      </c>
      <c r="R49" s="375" t="s">
        <v>728</v>
      </c>
      <c r="S49" s="375" t="s">
        <v>615</v>
      </c>
      <c r="T49" s="376">
        <v>41639</v>
      </c>
      <c r="U49" s="157"/>
      <c r="V49" s="157"/>
      <c r="W49" s="157"/>
      <c r="X49" s="157"/>
      <c r="Y49" s="157"/>
      <c r="Z49" s="157"/>
    </row>
    <row r="50" spans="1:26" s="158" customFormat="1" ht="72.75">
      <c r="A50" s="550"/>
      <c r="B50" s="553"/>
      <c r="C50" s="156">
        <v>3</v>
      </c>
      <c r="D50" s="408"/>
      <c r="E50" s="89" t="s">
        <v>105</v>
      </c>
      <c r="F50" s="248" t="s">
        <v>429</v>
      </c>
      <c r="G50" s="224"/>
      <c r="H50" s="150"/>
      <c r="I50" s="224"/>
      <c r="J50" s="225">
        <v>135</v>
      </c>
      <c r="K50" s="224"/>
      <c r="L50" s="224">
        <f t="shared" si="1"/>
        <v>400000</v>
      </c>
      <c r="M50" s="224"/>
      <c r="N50" s="224">
        <v>400000</v>
      </c>
      <c r="O50" s="224"/>
      <c r="P50" s="224"/>
      <c r="Q50" s="224">
        <f t="shared" si="0"/>
        <v>400000</v>
      </c>
      <c r="R50" s="375"/>
      <c r="S50" s="375"/>
      <c r="T50" s="376">
        <v>41639</v>
      </c>
      <c r="U50" s="157"/>
      <c r="V50" s="157"/>
      <c r="W50" s="157"/>
      <c r="X50" s="157"/>
      <c r="Y50" s="157"/>
      <c r="Z50" s="157"/>
    </row>
    <row r="51" spans="1:26" s="158" customFormat="1" ht="120.75">
      <c r="A51" s="550"/>
      <c r="B51" s="553"/>
      <c r="C51" s="156">
        <v>2</v>
      </c>
      <c r="D51" s="408"/>
      <c r="E51" s="252" t="s">
        <v>106</v>
      </c>
      <c r="F51" s="248" t="s">
        <v>430</v>
      </c>
      <c r="G51" s="224"/>
      <c r="H51" s="150"/>
      <c r="I51" s="224"/>
      <c r="J51" s="225">
        <v>1</v>
      </c>
      <c r="K51" s="224"/>
      <c r="L51" s="224">
        <f t="shared" si="1"/>
        <v>1000000</v>
      </c>
      <c r="M51" s="224"/>
      <c r="N51" s="224">
        <v>1000000</v>
      </c>
      <c r="O51" s="224"/>
      <c r="P51" s="224"/>
      <c r="Q51" s="224">
        <f t="shared" si="0"/>
        <v>1000000</v>
      </c>
      <c r="R51" s="375"/>
      <c r="S51" s="375"/>
      <c r="T51" s="376">
        <v>41639</v>
      </c>
      <c r="U51" s="157"/>
      <c r="V51" s="157"/>
      <c r="W51" s="157"/>
      <c r="X51" s="157"/>
      <c r="Y51" s="157"/>
      <c r="Z51" s="157"/>
    </row>
    <row r="52" spans="1:26" s="158" customFormat="1" ht="48.75">
      <c r="A52" s="550"/>
      <c r="B52" s="553"/>
      <c r="C52" s="156">
        <v>0</v>
      </c>
      <c r="D52" s="408"/>
      <c r="E52" s="89" t="s">
        <v>107</v>
      </c>
      <c r="F52" s="248" t="s">
        <v>431</v>
      </c>
      <c r="G52" s="224"/>
      <c r="H52" s="150"/>
      <c r="I52" s="224"/>
      <c r="J52" s="225">
        <v>0</v>
      </c>
      <c r="K52" s="224"/>
      <c r="L52" s="224">
        <f t="shared" si="1"/>
        <v>287433</v>
      </c>
      <c r="M52" s="224"/>
      <c r="N52" s="224">
        <v>287433</v>
      </c>
      <c r="O52" s="224"/>
      <c r="P52" s="224"/>
      <c r="Q52" s="224">
        <f t="shared" si="0"/>
        <v>287433</v>
      </c>
      <c r="R52" s="375"/>
      <c r="S52" s="375"/>
      <c r="T52" s="376">
        <v>41639</v>
      </c>
      <c r="U52" s="157"/>
      <c r="V52" s="157"/>
      <c r="W52" s="157"/>
      <c r="X52" s="157"/>
      <c r="Y52" s="157"/>
      <c r="Z52" s="157"/>
    </row>
    <row r="53" spans="1:26" s="158" customFormat="1" ht="60.75">
      <c r="A53" s="550"/>
      <c r="B53" s="553"/>
      <c r="C53" s="156">
        <v>3</v>
      </c>
      <c r="D53" s="408"/>
      <c r="E53" s="89" t="s">
        <v>108</v>
      </c>
      <c r="F53" s="248" t="s">
        <v>432</v>
      </c>
      <c r="G53" s="224"/>
      <c r="H53" s="150"/>
      <c r="I53" s="224"/>
      <c r="J53" s="225">
        <v>1</v>
      </c>
      <c r="K53" s="224"/>
      <c r="L53" s="224">
        <f t="shared" si="1"/>
        <v>300000</v>
      </c>
      <c r="M53" s="224"/>
      <c r="N53" s="224">
        <v>300000</v>
      </c>
      <c r="O53" s="224"/>
      <c r="P53" s="224"/>
      <c r="Q53" s="224">
        <f t="shared" si="0"/>
        <v>300000</v>
      </c>
      <c r="R53" s="375"/>
      <c r="S53" s="375"/>
      <c r="T53" s="376">
        <v>41639</v>
      </c>
      <c r="U53" s="157"/>
      <c r="V53" s="157"/>
      <c r="W53" s="157"/>
      <c r="X53" s="157"/>
      <c r="Y53" s="157"/>
      <c r="Z53" s="157"/>
    </row>
    <row r="54" spans="1:26" s="158" customFormat="1" ht="84.75">
      <c r="A54" s="550"/>
      <c r="B54" s="553"/>
      <c r="C54" s="156">
        <v>2</v>
      </c>
      <c r="D54" s="408"/>
      <c r="E54" s="89" t="s">
        <v>262</v>
      </c>
      <c r="F54" s="248" t="s">
        <v>433</v>
      </c>
      <c r="G54" s="224"/>
      <c r="H54" s="150"/>
      <c r="I54" s="224"/>
      <c r="J54" s="225">
        <v>15</v>
      </c>
      <c r="K54" s="224"/>
      <c r="L54" s="224">
        <f t="shared" si="1"/>
        <v>200000</v>
      </c>
      <c r="M54" s="224"/>
      <c r="N54" s="224">
        <v>200000</v>
      </c>
      <c r="O54" s="224"/>
      <c r="P54" s="224"/>
      <c r="Q54" s="224">
        <f t="shared" si="0"/>
        <v>200000</v>
      </c>
      <c r="R54" s="375"/>
      <c r="S54" s="375"/>
      <c r="T54" s="376">
        <v>41639</v>
      </c>
      <c r="U54" s="157"/>
      <c r="V54" s="157"/>
      <c r="W54" s="157"/>
      <c r="X54" s="157"/>
      <c r="Y54" s="157"/>
      <c r="Z54" s="157"/>
    </row>
    <row r="55" spans="1:26" s="158" customFormat="1" ht="84.75">
      <c r="A55" s="550"/>
      <c r="B55" s="553"/>
      <c r="C55" s="156">
        <v>3</v>
      </c>
      <c r="D55" s="408"/>
      <c r="E55" s="89" t="s">
        <v>263</v>
      </c>
      <c r="F55" s="254" t="s">
        <v>634</v>
      </c>
      <c r="G55" s="224"/>
      <c r="H55" s="150"/>
      <c r="I55" s="224"/>
      <c r="J55" s="251">
        <v>0.02</v>
      </c>
      <c r="K55" s="224"/>
      <c r="L55" s="224">
        <f t="shared" si="1"/>
        <v>100000</v>
      </c>
      <c r="M55" s="224"/>
      <c r="N55" s="224">
        <v>100000</v>
      </c>
      <c r="O55" s="224"/>
      <c r="P55" s="224"/>
      <c r="Q55" s="224">
        <f t="shared" si="0"/>
        <v>100000</v>
      </c>
      <c r="R55" s="375" t="s">
        <v>375</v>
      </c>
      <c r="S55" s="375"/>
      <c r="T55" s="376">
        <v>41639</v>
      </c>
      <c r="U55" s="157"/>
      <c r="V55" s="157"/>
      <c r="W55" s="157"/>
      <c r="X55" s="157"/>
      <c r="Y55" s="157"/>
      <c r="Z55" s="157"/>
    </row>
    <row r="56" spans="1:26" s="158" customFormat="1" ht="48">
      <c r="A56" s="550"/>
      <c r="B56" s="553"/>
      <c r="C56" s="156">
        <v>2</v>
      </c>
      <c r="D56" s="408"/>
      <c r="E56" s="89" t="s">
        <v>264</v>
      </c>
      <c r="F56" s="248" t="s">
        <v>434</v>
      </c>
      <c r="G56" s="224"/>
      <c r="H56" s="150"/>
      <c r="I56" s="224"/>
      <c r="J56" s="225">
        <v>100</v>
      </c>
      <c r="K56" s="224"/>
      <c r="L56" s="224">
        <f t="shared" si="1"/>
        <v>200000</v>
      </c>
      <c r="M56" s="224"/>
      <c r="N56" s="224">
        <v>200000</v>
      </c>
      <c r="O56" s="224"/>
      <c r="P56" s="224"/>
      <c r="Q56" s="224">
        <f t="shared" si="0"/>
        <v>200000</v>
      </c>
      <c r="R56" s="375" t="s">
        <v>375</v>
      </c>
      <c r="S56" s="375"/>
      <c r="T56" s="376">
        <v>41639</v>
      </c>
      <c r="U56" s="157"/>
      <c r="V56" s="157"/>
      <c r="W56" s="157"/>
      <c r="X56" s="157"/>
      <c r="Y56" s="157"/>
      <c r="Z56" s="157"/>
    </row>
    <row r="57" spans="1:26" s="158" customFormat="1" ht="48.75">
      <c r="A57" s="550"/>
      <c r="B57" s="553"/>
      <c r="C57" s="156">
        <v>5</v>
      </c>
      <c r="D57" s="408"/>
      <c r="E57" s="89" t="s">
        <v>109</v>
      </c>
      <c r="F57" s="248" t="s">
        <v>435</v>
      </c>
      <c r="G57" s="224"/>
      <c r="H57" s="150"/>
      <c r="I57" s="224"/>
      <c r="J57" s="225">
        <v>100</v>
      </c>
      <c r="K57" s="224"/>
      <c r="L57" s="224">
        <f t="shared" si="1"/>
        <v>300000</v>
      </c>
      <c r="M57" s="224"/>
      <c r="N57" s="224">
        <v>300000</v>
      </c>
      <c r="O57" s="224"/>
      <c r="P57" s="224"/>
      <c r="Q57" s="224">
        <f t="shared" si="0"/>
        <v>300000</v>
      </c>
      <c r="R57" s="375"/>
      <c r="S57" s="375"/>
      <c r="T57" s="376">
        <v>41639</v>
      </c>
      <c r="U57" s="157"/>
      <c r="V57" s="157"/>
      <c r="W57" s="157"/>
      <c r="X57" s="157"/>
      <c r="Y57" s="157"/>
      <c r="Z57" s="157"/>
    </row>
    <row r="58" spans="1:26" s="158" customFormat="1" ht="84.75">
      <c r="A58" s="550"/>
      <c r="B58" s="553"/>
      <c r="C58" s="156">
        <v>10</v>
      </c>
      <c r="D58" s="408"/>
      <c r="E58" s="89" t="s">
        <v>362</v>
      </c>
      <c r="F58" s="248" t="s">
        <v>436</v>
      </c>
      <c r="G58" s="224"/>
      <c r="H58" s="150"/>
      <c r="I58" s="224"/>
      <c r="J58" s="225">
        <v>2</v>
      </c>
      <c r="K58" s="224"/>
      <c r="L58" s="224">
        <f t="shared" si="1"/>
        <v>300000</v>
      </c>
      <c r="M58" s="224"/>
      <c r="N58" s="224">
        <v>300000</v>
      </c>
      <c r="O58" s="224"/>
      <c r="P58" s="224"/>
      <c r="Q58" s="224">
        <f t="shared" si="0"/>
        <v>300000</v>
      </c>
      <c r="R58" s="375"/>
      <c r="S58" s="375"/>
      <c r="T58" s="376">
        <v>41639</v>
      </c>
      <c r="U58" s="157"/>
      <c r="V58" s="157"/>
      <c r="W58" s="157"/>
      <c r="X58" s="157"/>
      <c r="Y58" s="157"/>
      <c r="Z58" s="157"/>
    </row>
    <row r="59" spans="1:26" s="158" customFormat="1" ht="60.75">
      <c r="A59" s="550"/>
      <c r="B59" s="553"/>
      <c r="C59" s="156">
        <v>5</v>
      </c>
      <c r="D59" s="408"/>
      <c r="E59" s="89" t="s">
        <v>110</v>
      </c>
      <c r="F59" s="248" t="s">
        <v>437</v>
      </c>
      <c r="G59" s="224"/>
      <c r="H59" s="150"/>
      <c r="I59" s="224"/>
      <c r="J59" s="225">
        <v>2</v>
      </c>
      <c r="K59" s="224"/>
      <c r="L59" s="224">
        <f t="shared" si="1"/>
        <v>800000</v>
      </c>
      <c r="M59" s="224"/>
      <c r="N59" s="224">
        <v>800000</v>
      </c>
      <c r="O59" s="224"/>
      <c r="P59" s="224"/>
      <c r="Q59" s="224">
        <f t="shared" si="0"/>
        <v>800000</v>
      </c>
      <c r="R59" s="375"/>
      <c r="S59" s="375"/>
      <c r="T59" s="376">
        <v>41639</v>
      </c>
      <c r="U59" s="157"/>
      <c r="V59" s="157"/>
      <c r="W59" s="157"/>
      <c r="X59" s="157"/>
      <c r="Y59" s="157"/>
      <c r="Z59" s="157"/>
    </row>
    <row r="60" spans="1:26" s="158" customFormat="1" ht="72.75">
      <c r="A60" s="550"/>
      <c r="B60" s="553"/>
      <c r="C60" s="156">
        <v>5</v>
      </c>
      <c r="D60" s="408"/>
      <c r="E60" s="89" t="s">
        <v>111</v>
      </c>
      <c r="F60" s="248" t="s">
        <v>438</v>
      </c>
      <c r="G60" s="224"/>
      <c r="H60" s="150"/>
      <c r="I60" s="224"/>
      <c r="J60" s="225">
        <v>1</v>
      </c>
      <c r="K60" s="224"/>
      <c r="L60" s="224">
        <f t="shared" si="1"/>
        <v>1000000</v>
      </c>
      <c r="M60" s="224"/>
      <c r="N60" s="224">
        <v>1000000</v>
      </c>
      <c r="O60" s="224"/>
      <c r="P60" s="224"/>
      <c r="Q60" s="224">
        <f t="shared" si="0"/>
        <v>1000000</v>
      </c>
      <c r="R60" s="375"/>
      <c r="S60" s="375"/>
      <c r="T60" s="376">
        <v>41639</v>
      </c>
      <c r="U60" s="157"/>
      <c r="V60" s="157"/>
      <c r="W60" s="157"/>
      <c r="X60" s="157"/>
      <c r="Y60" s="157"/>
      <c r="Z60" s="157"/>
    </row>
    <row r="61" spans="1:26" s="158" customFormat="1" ht="72.75">
      <c r="A61" s="550"/>
      <c r="B61" s="553"/>
      <c r="C61" s="156">
        <v>10</v>
      </c>
      <c r="D61" s="408"/>
      <c r="E61" s="89" t="s">
        <v>265</v>
      </c>
      <c r="F61" s="248" t="s">
        <v>439</v>
      </c>
      <c r="G61" s="224"/>
      <c r="H61" s="150"/>
      <c r="I61" s="224"/>
      <c r="J61" s="225">
        <v>50</v>
      </c>
      <c r="K61" s="224"/>
      <c r="L61" s="224">
        <f t="shared" si="1"/>
        <v>500000</v>
      </c>
      <c r="M61" s="224"/>
      <c r="N61" s="224">
        <v>500000</v>
      </c>
      <c r="O61" s="224"/>
      <c r="P61" s="224"/>
      <c r="Q61" s="224">
        <f t="shared" si="0"/>
        <v>500000</v>
      </c>
      <c r="R61" s="375"/>
      <c r="S61" s="375"/>
      <c r="T61" s="376">
        <v>41639</v>
      </c>
      <c r="U61" s="157"/>
      <c r="V61" s="157"/>
      <c r="W61" s="157"/>
      <c r="X61" s="157"/>
      <c r="Y61" s="157"/>
      <c r="Z61" s="157"/>
    </row>
    <row r="62" spans="1:26" s="158" customFormat="1" ht="60.75">
      <c r="A62" s="550"/>
      <c r="B62" s="553"/>
      <c r="C62" s="156">
        <v>5</v>
      </c>
      <c r="D62" s="408"/>
      <c r="E62" s="89" t="s">
        <v>266</v>
      </c>
      <c r="F62" s="248" t="s">
        <v>440</v>
      </c>
      <c r="G62" s="224"/>
      <c r="H62" s="150"/>
      <c r="I62" s="224"/>
      <c r="J62" s="225">
        <v>20</v>
      </c>
      <c r="K62" s="224"/>
      <c r="L62" s="224">
        <f t="shared" si="1"/>
        <v>300000</v>
      </c>
      <c r="M62" s="224"/>
      <c r="N62" s="224">
        <v>300000</v>
      </c>
      <c r="O62" s="224"/>
      <c r="P62" s="224"/>
      <c r="Q62" s="224">
        <f t="shared" si="0"/>
        <v>300000</v>
      </c>
      <c r="R62" s="375"/>
      <c r="S62" s="375"/>
      <c r="T62" s="376">
        <v>41639</v>
      </c>
      <c r="U62" s="157"/>
      <c r="V62" s="157"/>
      <c r="W62" s="157"/>
      <c r="X62" s="157"/>
      <c r="Y62" s="157"/>
      <c r="Z62" s="157"/>
    </row>
    <row r="63" spans="1:26" s="158" customFormat="1" ht="120">
      <c r="A63" s="550"/>
      <c r="B63" s="553"/>
      <c r="C63" s="156">
        <v>5</v>
      </c>
      <c r="D63" s="408"/>
      <c r="E63" s="89" t="s">
        <v>112</v>
      </c>
      <c r="F63" s="248" t="s">
        <v>432</v>
      </c>
      <c r="G63" s="224"/>
      <c r="H63" s="150" t="s">
        <v>711</v>
      </c>
      <c r="I63" s="224" t="s">
        <v>627</v>
      </c>
      <c r="J63" s="225">
        <v>1</v>
      </c>
      <c r="K63" s="224">
        <v>1</v>
      </c>
      <c r="L63" s="224">
        <f t="shared" si="1"/>
        <v>300000</v>
      </c>
      <c r="M63" s="224">
        <v>0</v>
      </c>
      <c r="N63" s="255">
        <v>300000</v>
      </c>
      <c r="O63" s="224"/>
      <c r="P63" s="224"/>
      <c r="Q63" s="224">
        <f t="shared" si="0"/>
        <v>300000</v>
      </c>
      <c r="R63" s="375" t="s">
        <v>729</v>
      </c>
      <c r="S63" s="375" t="s">
        <v>620</v>
      </c>
      <c r="T63" s="376">
        <v>41639</v>
      </c>
      <c r="U63" s="157"/>
      <c r="V63" s="157"/>
      <c r="W63" s="157"/>
      <c r="X63" s="157"/>
      <c r="Y63" s="157"/>
      <c r="Z63" s="157"/>
    </row>
    <row r="64" spans="1:26" s="158" customFormat="1" ht="48.75">
      <c r="A64" s="550"/>
      <c r="B64" s="553"/>
      <c r="C64" s="156">
        <v>5</v>
      </c>
      <c r="D64" s="408"/>
      <c r="E64" s="89" t="s">
        <v>267</v>
      </c>
      <c r="F64" s="248" t="s">
        <v>441</v>
      </c>
      <c r="G64" s="224"/>
      <c r="H64" s="150"/>
      <c r="I64" s="224"/>
      <c r="J64" s="225">
        <v>5</v>
      </c>
      <c r="K64" s="224"/>
      <c r="L64" s="224">
        <f t="shared" si="1"/>
        <v>100000</v>
      </c>
      <c r="M64" s="224"/>
      <c r="N64" s="224">
        <v>100000</v>
      </c>
      <c r="O64" s="224"/>
      <c r="P64" s="224"/>
      <c r="Q64" s="224">
        <f t="shared" si="0"/>
        <v>100000</v>
      </c>
      <c r="R64" s="375" t="s">
        <v>375</v>
      </c>
      <c r="S64" s="375"/>
      <c r="T64" s="376">
        <v>41639</v>
      </c>
      <c r="U64" s="157"/>
      <c r="V64" s="157"/>
      <c r="W64" s="157"/>
      <c r="X64" s="157"/>
      <c r="Y64" s="157"/>
      <c r="Z64" s="157"/>
    </row>
    <row r="65" spans="1:26" s="158" customFormat="1" ht="24.75">
      <c r="A65" s="550"/>
      <c r="B65" s="553"/>
      <c r="C65" s="156">
        <v>5</v>
      </c>
      <c r="D65" s="408"/>
      <c r="E65" s="89" t="s">
        <v>113</v>
      </c>
      <c r="F65" s="248" t="s">
        <v>442</v>
      </c>
      <c r="G65" s="224"/>
      <c r="H65" s="150" t="s">
        <v>375</v>
      </c>
      <c r="I65" s="224" t="s">
        <v>375</v>
      </c>
      <c r="J65" s="225">
        <v>100</v>
      </c>
      <c r="K65" s="224"/>
      <c r="L65" s="224">
        <f t="shared" si="1"/>
        <v>300000</v>
      </c>
      <c r="M65" s="224"/>
      <c r="N65" s="224">
        <v>300000</v>
      </c>
      <c r="O65" s="224"/>
      <c r="P65" s="224"/>
      <c r="Q65" s="224">
        <f t="shared" si="0"/>
        <v>300000</v>
      </c>
      <c r="R65" s="375" t="s">
        <v>728</v>
      </c>
      <c r="S65" s="375" t="s">
        <v>615</v>
      </c>
      <c r="T65" s="376">
        <v>41639</v>
      </c>
      <c r="U65" s="157"/>
      <c r="V65" s="157"/>
      <c r="W65" s="157"/>
      <c r="X65" s="157"/>
      <c r="Y65" s="157"/>
      <c r="Z65" s="157"/>
    </row>
    <row r="66" spans="1:26" s="158" customFormat="1" ht="108.75">
      <c r="A66" s="550"/>
      <c r="B66" s="553"/>
      <c r="C66" s="156">
        <v>3</v>
      </c>
      <c r="D66" s="408"/>
      <c r="E66" s="252" t="s">
        <v>268</v>
      </c>
      <c r="F66" s="248" t="s">
        <v>443</v>
      </c>
      <c r="G66" s="224"/>
      <c r="H66" s="150"/>
      <c r="I66" s="224"/>
      <c r="J66" s="225">
        <v>3</v>
      </c>
      <c r="K66" s="224"/>
      <c r="L66" s="224">
        <f t="shared" si="1"/>
        <v>200000</v>
      </c>
      <c r="M66" s="224"/>
      <c r="N66" s="224">
        <v>200000</v>
      </c>
      <c r="O66" s="224"/>
      <c r="P66" s="224"/>
      <c r="Q66" s="224">
        <f t="shared" si="0"/>
        <v>200000</v>
      </c>
      <c r="R66" s="375"/>
      <c r="S66" s="375"/>
      <c r="T66" s="376">
        <v>41639</v>
      </c>
      <c r="U66" s="157"/>
      <c r="V66" s="157"/>
      <c r="W66" s="157"/>
      <c r="X66" s="157"/>
      <c r="Y66" s="157"/>
      <c r="Z66" s="157"/>
    </row>
    <row r="67" spans="1:26" s="158" customFormat="1" ht="84.75">
      <c r="A67" s="550"/>
      <c r="B67" s="553"/>
      <c r="C67" s="156">
        <v>2</v>
      </c>
      <c r="D67" s="408"/>
      <c r="E67" s="89" t="s">
        <v>114</v>
      </c>
      <c r="F67" s="248" t="s">
        <v>444</v>
      </c>
      <c r="G67" s="224"/>
      <c r="H67" s="150"/>
      <c r="I67" s="224"/>
      <c r="J67" s="225">
        <v>1</v>
      </c>
      <c r="K67" s="224"/>
      <c r="L67" s="224">
        <f t="shared" si="1"/>
        <v>300000</v>
      </c>
      <c r="M67" s="224"/>
      <c r="N67" s="224">
        <v>300000</v>
      </c>
      <c r="O67" s="224"/>
      <c r="P67" s="224"/>
      <c r="Q67" s="224">
        <f t="shared" si="0"/>
        <v>300000</v>
      </c>
      <c r="R67" s="375"/>
      <c r="S67" s="375"/>
      <c r="T67" s="376">
        <v>41639</v>
      </c>
      <c r="U67" s="157"/>
      <c r="V67" s="157"/>
      <c r="W67" s="157"/>
      <c r="X67" s="157"/>
      <c r="Y67" s="157"/>
      <c r="Z67" s="157"/>
    </row>
    <row r="68" spans="1:26" s="158" customFormat="1" ht="96">
      <c r="A68" s="550"/>
      <c r="B68" s="553"/>
      <c r="C68" s="156">
        <v>3</v>
      </c>
      <c r="D68" s="408"/>
      <c r="E68" s="89" t="s">
        <v>269</v>
      </c>
      <c r="F68" s="248" t="s">
        <v>445</v>
      </c>
      <c r="G68" s="224"/>
      <c r="H68" s="150" t="s">
        <v>706</v>
      </c>
      <c r="I68" s="224"/>
      <c r="J68" s="251">
        <v>0.25</v>
      </c>
      <c r="K68" s="224"/>
      <c r="L68" s="224">
        <f t="shared" si="1"/>
        <v>25130000</v>
      </c>
      <c r="M68" s="224">
        <v>0</v>
      </c>
      <c r="N68" s="256">
        <v>25130000</v>
      </c>
      <c r="O68" s="224"/>
      <c r="P68" s="224"/>
      <c r="Q68" s="224">
        <f aca="true" t="shared" si="2" ref="Q68:Q131">SUM(M68:P68)</f>
        <v>25130000</v>
      </c>
      <c r="R68" s="375" t="s">
        <v>730</v>
      </c>
      <c r="S68" s="375" t="s">
        <v>615</v>
      </c>
      <c r="T68" s="376">
        <v>41639</v>
      </c>
      <c r="U68" s="157"/>
      <c r="V68" s="157"/>
      <c r="W68" s="157"/>
      <c r="X68" s="157"/>
      <c r="Y68" s="157"/>
      <c r="Z68" s="157"/>
    </row>
    <row r="69" spans="1:26" s="158" customFormat="1" ht="60.75">
      <c r="A69" s="550"/>
      <c r="B69" s="553"/>
      <c r="C69" s="156">
        <v>2</v>
      </c>
      <c r="D69" s="408"/>
      <c r="E69" s="89" t="s">
        <v>115</v>
      </c>
      <c r="F69" s="248" t="s">
        <v>414</v>
      </c>
      <c r="G69" s="224"/>
      <c r="H69" s="150" t="s">
        <v>375</v>
      </c>
      <c r="I69" s="224" t="s">
        <v>375</v>
      </c>
      <c r="J69" s="225">
        <v>25</v>
      </c>
      <c r="K69" s="224"/>
      <c r="L69" s="224">
        <f t="shared" si="1"/>
        <v>250000</v>
      </c>
      <c r="M69" s="224"/>
      <c r="N69" s="224">
        <v>250000</v>
      </c>
      <c r="O69" s="224"/>
      <c r="P69" s="224"/>
      <c r="Q69" s="224">
        <f t="shared" si="2"/>
        <v>250000</v>
      </c>
      <c r="R69" s="375"/>
      <c r="S69" s="375"/>
      <c r="T69" s="376">
        <v>41639</v>
      </c>
      <c r="U69" s="157"/>
      <c r="V69" s="157"/>
      <c r="W69" s="157"/>
      <c r="X69" s="157"/>
      <c r="Y69" s="157"/>
      <c r="Z69" s="157"/>
    </row>
    <row r="70" spans="1:26" s="158" customFormat="1" ht="60.75">
      <c r="A70" s="550"/>
      <c r="B70" s="553"/>
      <c r="C70" s="156">
        <v>3</v>
      </c>
      <c r="D70" s="408"/>
      <c r="E70" s="89" t="s">
        <v>116</v>
      </c>
      <c r="F70" s="248" t="s">
        <v>432</v>
      </c>
      <c r="G70" s="224"/>
      <c r="H70" s="150" t="s">
        <v>375</v>
      </c>
      <c r="I70" s="224" t="s">
        <v>375</v>
      </c>
      <c r="J70" s="225">
        <v>1</v>
      </c>
      <c r="K70" s="224"/>
      <c r="L70" s="224">
        <f aca="true" t="shared" si="3" ref="L70:L133">+M70+N70+O70+P70</f>
        <v>250000</v>
      </c>
      <c r="M70" s="224"/>
      <c r="N70" s="224">
        <v>250000</v>
      </c>
      <c r="O70" s="224"/>
      <c r="P70" s="224"/>
      <c r="Q70" s="224">
        <f t="shared" si="2"/>
        <v>250000</v>
      </c>
      <c r="R70" s="375"/>
      <c r="S70" s="375"/>
      <c r="T70" s="376">
        <v>41639</v>
      </c>
      <c r="U70" s="157"/>
      <c r="V70" s="157"/>
      <c r="W70" s="157"/>
      <c r="X70" s="157"/>
      <c r="Y70" s="157"/>
      <c r="Z70" s="157"/>
    </row>
    <row r="71" spans="1:26" s="158" customFormat="1" ht="84.75">
      <c r="A71" s="550"/>
      <c r="B71" s="553"/>
      <c r="C71" s="156">
        <v>2</v>
      </c>
      <c r="D71" s="408"/>
      <c r="E71" s="89" t="s">
        <v>117</v>
      </c>
      <c r="F71" s="248" t="s">
        <v>446</v>
      </c>
      <c r="G71" s="224"/>
      <c r="H71" s="150" t="s">
        <v>375</v>
      </c>
      <c r="I71" s="224" t="s">
        <v>375</v>
      </c>
      <c r="J71" s="225">
        <v>20</v>
      </c>
      <c r="K71" s="224"/>
      <c r="L71" s="224">
        <f t="shared" si="3"/>
        <v>400000</v>
      </c>
      <c r="M71" s="224"/>
      <c r="N71" s="224">
        <v>400000</v>
      </c>
      <c r="O71" s="224"/>
      <c r="P71" s="224"/>
      <c r="Q71" s="224">
        <f t="shared" si="2"/>
        <v>400000</v>
      </c>
      <c r="R71" s="375" t="s">
        <v>731</v>
      </c>
      <c r="S71" s="375" t="s">
        <v>615</v>
      </c>
      <c r="T71" s="376">
        <v>41639</v>
      </c>
      <c r="U71" s="157"/>
      <c r="V71" s="157"/>
      <c r="W71" s="157"/>
      <c r="X71" s="157"/>
      <c r="Y71" s="157"/>
      <c r="Z71" s="157"/>
    </row>
    <row r="72" spans="1:26" s="158" customFormat="1" ht="36.75">
      <c r="A72" s="550"/>
      <c r="B72" s="553"/>
      <c r="C72" s="156">
        <v>0</v>
      </c>
      <c r="D72" s="408"/>
      <c r="E72" s="89" t="s">
        <v>118</v>
      </c>
      <c r="F72" s="248" t="s">
        <v>447</v>
      </c>
      <c r="G72" s="224"/>
      <c r="H72" s="150"/>
      <c r="I72" s="224"/>
      <c r="J72" s="225">
        <v>0</v>
      </c>
      <c r="K72" s="224"/>
      <c r="L72" s="224">
        <f t="shared" si="3"/>
        <v>0</v>
      </c>
      <c r="M72" s="224"/>
      <c r="N72" s="224"/>
      <c r="O72" s="224"/>
      <c r="P72" s="224"/>
      <c r="Q72" s="224">
        <f t="shared" si="2"/>
        <v>0</v>
      </c>
      <c r="R72" s="375"/>
      <c r="S72" s="375"/>
      <c r="T72" s="376">
        <v>41639</v>
      </c>
      <c r="U72" s="157"/>
      <c r="V72" s="157"/>
      <c r="W72" s="157"/>
      <c r="X72" s="157"/>
      <c r="Y72" s="157"/>
      <c r="Z72" s="157"/>
    </row>
    <row r="73" spans="1:26" s="158" customFormat="1" ht="60.75">
      <c r="A73" s="550"/>
      <c r="B73" s="553"/>
      <c r="C73" s="156">
        <v>0</v>
      </c>
      <c r="D73" s="408"/>
      <c r="E73" s="89" t="s">
        <v>270</v>
      </c>
      <c r="F73" s="248" t="s">
        <v>448</v>
      </c>
      <c r="G73" s="224"/>
      <c r="H73" s="150"/>
      <c r="I73" s="224"/>
      <c r="J73" s="225">
        <v>0</v>
      </c>
      <c r="K73" s="224"/>
      <c r="L73" s="224">
        <f t="shared" si="3"/>
        <v>300000</v>
      </c>
      <c r="M73" s="224"/>
      <c r="N73" s="224">
        <v>300000</v>
      </c>
      <c r="O73" s="224"/>
      <c r="P73" s="224"/>
      <c r="Q73" s="224">
        <f t="shared" si="2"/>
        <v>300000</v>
      </c>
      <c r="R73" s="375"/>
      <c r="S73" s="375"/>
      <c r="T73" s="376">
        <v>41639</v>
      </c>
      <c r="U73" s="157"/>
      <c r="V73" s="157"/>
      <c r="W73" s="157"/>
      <c r="X73" s="157"/>
      <c r="Y73" s="157"/>
      <c r="Z73" s="157"/>
    </row>
    <row r="74" spans="1:26" s="11" customFormat="1" ht="15">
      <c r="A74" s="550"/>
      <c r="B74" s="553"/>
      <c r="C74" s="119">
        <f>SUM(C46:C73)</f>
        <v>100</v>
      </c>
      <c r="D74" s="407"/>
      <c r="E74" s="102" t="s">
        <v>342</v>
      </c>
      <c r="F74" s="248"/>
      <c r="G74" s="224"/>
      <c r="H74" s="150"/>
      <c r="I74" s="224"/>
      <c r="J74" s="225"/>
      <c r="K74" s="224"/>
      <c r="L74" s="224">
        <f t="shared" si="3"/>
        <v>0</v>
      </c>
      <c r="M74" s="224"/>
      <c r="N74" s="224">
        <v>0</v>
      </c>
      <c r="O74" s="224"/>
      <c r="P74" s="224"/>
      <c r="Q74" s="224">
        <f t="shared" si="2"/>
        <v>0</v>
      </c>
      <c r="R74" s="108"/>
      <c r="S74" s="120"/>
      <c r="T74" s="374"/>
      <c r="U74" s="121"/>
      <c r="V74" s="121"/>
      <c r="W74" s="121"/>
      <c r="X74" s="121"/>
      <c r="Y74" s="121"/>
      <c r="Z74" s="121"/>
    </row>
    <row r="75" spans="1:26" s="10" customFormat="1" ht="15">
      <c r="A75" s="550"/>
      <c r="B75" s="553"/>
      <c r="C75" s="124"/>
      <c r="D75" s="394" t="s">
        <v>61</v>
      </c>
      <c r="E75" s="395"/>
      <c r="F75" s="110"/>
      <c r="G75" s="125"/>
      <c r="H75" s="126"/>
      <c r="I75" s="125"/>
      <c r="J75" s="145"/>
      <c r="K75" s="125"/>
      <c r="L75" s="152">
        <f t="shared" si="3"/>
        <v>0</v>
      </c>
      <c r="M75" s="125"/>
      <c r="N75" s="125"/>
      <c r="O75" s="125"/>
      <c r="P75" s="125"/>
      <c r="Q75" s="152">
        <f t="shared" si="2"/>
        <v>0</v>
      </c>
      <c r="R75" s="377"/>
      <c r="S75" s="126"/>
      <c r="T75" s="374"/>
      <c r="U75" s="127"/>
      <c r="V75" s="127"/>
      <c r="W75" s="127"/>
      <c r="X75" s="127"/>
      <c r="Y75" s="127"/>
      <c r="Z75" s="127"/>
    </row>
    <row r="76" spans="1:26" s="41" customFormat="1" ht="264.75" customHeight="1">
      <c r="A76" s="550"/>
      <c r="B76" s="553"/>
      <c r="C76" s="115">
        <v>10</v>
      </c>
      <c r="D76" s="406" t="s">
        <v>125</v>
      </c>
      <c r="E76" s="361" t="s">
        <v>271</v>
      </c>
      <c r="F76" s="356" t="s">
        <v>449</v>
      </c>
      <c r="G76" s="357"/>
      <c r="H76" s="358"/>
      <c r="I76" s="357"/>
      <c r="J76" s="359">
        <v>30</v>
      </c>
      <c r="K76" s="357"/>
      <c r="L76" s="357">
        <f t="shared" si="3"/>
        <v>6500000</v>
      </c>
      <c r="M76" s="357"/>
      <c r="N76" s="357">
        <v>6500000</v>
      </c>
      <c r="O76" s="357"/>
      <c r="P76" s="357"/>
      <c r="Q76" s="357">
        <f t="shared" si="2"/>
        <v>6500000</v>
      </c>
      <c r="R76" s="108"/>
      <c r="S76" s="108"/>
      <c r="T76" s="374">
        <v>41639</v>
      </c>
      <c r="U76" s="114"/>
      <c r="V76" s="114"/>
      <c r="W76" s="114"/>
      <c r="X76" s="114"/>
      <c r="Y76" s="114"/>
      <c r="Z76" s="114"/>
    </row>
    <row r="77" spans="1:26" s="41" customFormat="1" ht="48.75" customHeight="1">
      <c r="A77" s="550"/>
      <c r="B77" s="553"/>
      <c r="C77" s="115">
        <v>10</v>
      </c>
      <c r="D77" s="408"/>
      <c r="E77" s="411" t="s">
        <v>119</v>
      </c>
      <c r="F77" s="110" t="s">
        <v>450</v>
      </c>
      <c r="G77" s="112"/>
      <c r="H77" s="150" t="s">
        <v>702</v>
      </c>
      <c r="I77" s="112"/>
      <c r="J77" s="141">
        <v>25</v>
      </c>
      <c r="L77" s="152">
        <f t="shared" si="3"/>
        <v>0</v>
      </c>
      <c r="M77" s="112"/>
      <c r="N77" s="112"/>
      <c r="O77" s="112"/>
      <c r="P77" s="129"/>
      <c r="Q77" s="152">
        <f t="shared" si="2"/>
        <v>0</v>
      </c>
      <c r="R77" s="108">
        <v>0</v>
      </c>
      <c r="S77" s="108" t="s">
        <v>630</v>
      </c>
      <c r="T77" s="374"/>
      <c r="U77" s="114"/>
      <c r="V77" s="114"/>
      <c r="W77" s="114"/>
      <c r="X77" s="114"/>
      <c r="Y77" s="114"/>
      <c r="Z77" s="114"/>
    </row>
    <row r="78" spans="1:26" s="41" customFormat="1" ht="120">
      <c r="A78" s="550"/>
      <c r="B78" s="553"/>
      <c r="C78" s="115"/>
      <c r="D78" s="408"/>
      <c r="E78" s="413"/>
      <c r="F78" s="110"/>
      <c r="G78" s="112"/>
      <c r="H78" s="108" t="s">
        <v>668</v>
      </c>
      <c r="I78" s="112"/>
      <c r="J78" s="141"/>
      <c r="K78" s="128"/>
      <c r="L78" s="152">
        <f t="shared" si="3"/>
        <v>0</v>
      </c>
      <c r="M78" s="112"/>
      <c r="N78" s="112"/>
      <c r="O78" s="112"/>
      <c r="P78" s="129"/>
      <c r="Q78" s="152">
        <f t="shared" si="2"/>
        <v>0</v>
      </c>
      <c r="R78" s="108"/>
      <c r="S78" s="108"/>
      <c r="T78" s="374"/>
      <c r="U78" s="114"/>
      <c r="V78" s="114"/>
      <c r="W78" s="114"/>
      <c r="X78" s="114"/>
      <c r="Y78" s="114"/>
      <c r="Z78" s="114"/>
    </row>
    <row r="79" spans="1:26" s="41" customFormat="1" ht="57.75" customHeight="1">
      <c r="A79" s="550"/>
      <c r="B79" s="553"/>
      <c r="C79" s="115">
        <v>10</v>
      </c>
      <c r="D79" s="408"/>
      <c r="E79" s="45" t="s">
        <v>272</v>
      </c>
      <c r="F79" s="110" t="s">
        <v>451</v>
      </c>
      <c r="G79" s="112"/>
      <c r="H79" s="150" t="s">
        <v>660</v>
      </c>
      <c r="I79" s="111" t="s">
        <v>451</v>
      </c>
      <c r="J79" s="141">
        <v>1</v>
      </c>
      <c r="K79" s="112">
        <v>1</v>
      </c>
      <c r="L79" s="152">
        <f t="shared" si="3"/>
        <v>0</v>
      </c>
      <c r="M79" s="112"/>
      <c r="N79" s="112"/>
      <c r="O79" s="112"/>
      <c r="P79" s="112"/>
      <c r="Q79" s="152">
        <f t="shared" si="2"/>
        <v>0</v>
      </c>
      <c r="R79" s="108" t="s">
        <v>732</v>
      </c>
      <c r="S79" s="108" t="s">
        <v>620</v>
      </c>
      <c r="T79" s="374">
        <v>41608</v>
      </c>
      <c r="U79" s="114"/>
      <c r="V79" s="114"/>
      <c r="W79" s="114"/>
      <c r="X79" s="114"/>
      <c r="Y79" s="114"/>
      <c r="Z79" s="114"/>
    </row>
    <row r="80" spans="1:26" s="41" customFormat="1" ht="72.75">
      <c r="A80" s="550"/>
      <c r="B80" s="553"/>
      <c r="C80" s="115">
        <v>10</v>
      </c>
      <c r="D80" s="408"/>
      <c r="E80" s="38" t="s">
        <v>120</v>
      </c>
      <c r="F80" s="110" t="s">
        <v>432</v>
      </c>
      <c r="G80" s="112"/>
      <c r="H80" s="108"/>
      <c r="I80" s="112"/>
      <c r="J80" s="141">
        <v>1</v>
      </c>
      <c r="K80" s="112"/>
      <c r="L80" s="152">
        <f t="shared" si="3"/>
        <v>0</v>
      </c>
      <c r="M80" s="112"/>
      <c r="N80" s="112"/>
      <c r="O80" s="112"/>
      <c r="P80" s="112"/>
      <c r="Q80" s="152">
        <f t="shared" si="2"/>
        <v>0</v>
      </c>
      <c r="R80" s="108"/>
      <c r="S80" s="108"/>
      <c r="T80" s="374"/>
      <c r="U80" s="114"/>
      <c r="V80" s="114"/>
      <c r="W80" s="114"/>
      <c r="X80" s="114"/>
      <c r="Y80" s="114"/>
      <c r="Z80" s="114"/>
    </row>
    <row r="81" spans="1:26" s="41" customFormat="1" ht="48.75">
      <c r="A81" s="550"/>
      <c r="B81" s="553"/>
      <c r="C81" s="115">
        <v>10</v>
      </c>
      <c r="D81" s="408"/>
      <c r="E81" s="38" t="s">
        <v>121</v>
      </c>
      <c r="F81" s="110" t="s">
        <v>452</v>
      </c>
      <c r="G81" s="112"/>
      <c r="H81" s="108"/>
      <c r="I81" s="112"/>
      <c r="J81" s="141">
        <v>1</v>
      </c>
      <c r="K81" s="112"/>
      <c r="L81" s="152">
        <f t="shared" si="3"/>
        <v>0</v>
      </c>
      <c r="M81" s="112"/>
      <c r="N81" s="112"/>
      <c r="O81" s="112"/>
      <c r="P81" s="112"/>
      <c r="Q81" s="152">
        <f t="shared" si="2"/>
        <v>0</v>
      </c>
      <c r="R81" s="108"/>
      <c r="S81" s="108"/>
      <c r="T81" s="374"/>
      <c r="U81" s="114"/>
      <c r="V81" s="114"/>
      <c r="W81" s="114"/>
      <c r="X81" s="114"/>
      <c r="Y81" s="114"/>
      <c r="Z81" s="114"/>
    </row>
    <row r="82" spans="1:26" s="41" customFormat="1" ht="72.75">
      <c r="A82" s="550"/>
      <c r="B82" s="553"/>
      <c r="C82" s="115">
        <v>10</v>
      </c>
      <c r="D82" s="408"/>
      <c r="E82" s="43" t="s">
        <v>328</v>
      </c>
      <c r="F82" s="110" t="s">
        <v>453</v>
      </c>
      <c r="G82" s="112"/>
      <c r="H82" s="584" t="s">
        <v>669</v>
      </c>
      <c r="I82" s="112"/>
      <c r="J82" s="140">
        <v>0.25</v>
      </c>
      <c r="K82" s="112"/>
      <c r="L82" s="152">
        <f t="shared" si="3"/>
        <v>0</v>
      </c>
      <c r="M82" s="112"/>
      <c r="N82" s="112"/>
      <c r="O82" s="112"/>
      <c r="P82" s="112"/>
      <c r="Q82" s="152">
        <f t="shared" si="2"/>
        <v>0</v>
      </c>
      <c r="R82" s="108"/>
      <c r="S82" s="108"/>
      <c r="T82" s="374"/>
      <c r="U82" s="114"/>
      <c r="V82" s="114"/>
      <c r="W82" s="114"/>
      <c r="X82" s="114"/>
      <c r="Y82" s="114"/>
      <c r="Z82" s="114"/>
    </row>
    <row r="83" spans="1:26" s="41" customFormat="1" ht="72.75" customHeight="1">
      <c r="A83" s="550"/>
      <c r="B83" s="553"/>
      <c r="C83" s="115">
        <v>10</v>
      </c>
      <c r="D83" s="408"/>
      <c r="E83" s="43" t="s">
        <v>329</v>
      </c>
      <c r="F83" s="110" t="s">
        <v>453</v>
      </c>
      <c r="G83" s="112"/>
      <c r="H83" s="585"/>
      <c r="I83" s="112"/>
      <c r="J83" s="140">
        <v>0.25</v>
      </c>
      <c r="K83" s="112"/>
      <c r="L83" s="152">
        <f t="shared" si="3"/>
        <v>0</v>
      </c>
      <c r="M83" s="112"/>
      <c r="N83" s="112"/>
      <c r="O83" s="112"/>
      <c r="P83" s="112"/>
      <c r="Q83" s="152">
        <f t="shared" si="2"/>
        <v>0</v>
      </c>
      <c r="R83" s="108"/>
      <c r="S83" s="108"/>
      <c r="T83" s="378"/>
      <c r="U83" s="114"/>
      <c r="V83" s="114"/>
      <c r="W83" s="114"/>
      <c r="X83" s="114"/>
      <c r="Y83" s="114"/>
      <c r="Z83" s="114"/>
    </row>
    <row r="84" spans="1:26" s="41" customFormat="1" ht="144.75">
      <c r="A84" s="550"/>
      <c r="B84" s="553"/>
      <c r="C84" s="115">
        <v>10</v>
      </c>
      <c r="D84" s="408"/>
      <c r="E84" s="43" t="s">
        <v>330</v>
      </c>
      <c r="F84" s="110" t="s">
        <v>454</v>
      </c>
      <c r="G84" s="112"/>
      <c r="H84" s="149" t="s">
        <v>669</v>
      </c>
      <c r="I84" s="112"/>
      <c r="J84" s="141">
        <v>25</v>
      </c>
      <c r="K84" s="112"/>
      <c r="L84" s="152">
        <f t="shared" si="3"/>
        <v>0</v>
      </c>
      <c r="M84" s="112"/>
      <c r="N84" s="112"/>
      <c r="O84" s="112"/>
      <c r="P84" s="112"/>
      <c r="Q84" s="152">
        <f t="shared" si="2"/>
        <v>0</v>
      </c>
      <c r="R84" s="108"/>
      <c r="S84" s="108"/>
      <c r="T84" s="378"/>
      <c r="U84" s="114"/>
      <c r="V84" s="114"/>
      <c r="W84" s="114"/>
      <c r="X84" s="114"/>
      <c r="Y84" s="114"/>
      <c r="Z84" s="114"/>
    </row>
    <row r="85" spans="1:26" s="41" customFormat="1" ht="84.75">
      <c r="A85" s="550"/>
      <c r="B85" s="553"/>
      <c r="C85" s="115">
        <v>10</v>
      </c>
      <c r="D85" s="408"/>
      <c r="E85" s="43" t="s">
        <v>331</v>
      </c>
      <c r="F85" s="110" t="s">
        <v>455</v>
      </c>
      <c r="G85" s="112"/>
      <c r="H85" s="143"/>
      <c r="I85" s="112"/>
      <c r="J85" s="141">
        <v>50</v>
      </c>
      <c r="K85" s="112"/>
      <c r="L85" s="152">
        <f t="shared" si="3"/>
        <v>0</v>
      </c>
      <c r="M85" s="112"/>
      <c r="N85" s="112"/>
      <c r="O85" s="112"/>
      <c r="P85" s="112"/>
      <c r="Q85" s="152">
        <f t="shared" si="2"/>
        <v>0</v>
      </c>
      <c r="R85" s="108"/>
      <c r="S85" s="108"/>
      <c r="T85" s="374"/>
      <c r="U85" s="114"/>
      <c r="V85" s="114"/>
      <c r="W85" s="114"/>
      <c r="X85" s="114"/>
      <c r="Y85" s="114"/>
      <c r="Z85" s="114"/>
    </row>
    <row r="86" spans="1:26" s="41" customFormat="1" ht="120.75">
      <c r="A86" s="550"/>
      <c r="B86" s="553"/>
      <c r="C86" s="115">
        <v>10</v>
      </c>
      <c r="D86" s="408"/>
      <c r="E86" s="43" t="s">
        <v>332</v>
      </c>
      <c r="F86" s="110" t="s">
        <v>456</v>
      </c>
      <c r="G86" s="112"/>
      <c r="H86" s="108"/>
      <c r="I86" s="112"/>
      <c r="J86" s="140">
        <v>0.25</v>
      </c>
      <c r="K86" s="112"/>
      <c r="L86" s="152">
        <f t="shared" si="3"/>
        <v>0</v>
      </c>
      <c r="M86" s="112"/>
      <c r="N86" s="112"/>
      <c r="O86" s="112"/>
      <c r="P86" s="112"/>
      <c r="Q86" s="152">
        <f t="shared" si="2"/>
        <v>0</v>
      </c>
      <c r="R86" s="108"/>
      <c r="S86" s="108"/>
      <c r="T86" s="374"/>
      <c r="U86" s="114"/>
      <c r="V86" s="114"/>
      <c r="W86" s="114"/>
      <c r="X86" s="114"/>
      <c r="Y86" s="114"/>
      <c r="Z86" s="114"/>
    </row>
    <row r="87" spans="1:26" s="11" customFormat="1" ht="15">
      <c r="A87" s="550"/>
      <c r="B87" s="553"/>
      <c r="C87" s="119">
        <f>SUM(C76:C86)</f>
        <v>100</v>
      </c>
      <c r="D87" s="407"/>
      <c r="E87" s="44" t="s">
        <v>342</v>
      </c>
      <c r="F87" s="110"/>
      <c r="G87" s="113"/>
      <c r="H87" s="120"/>
      <c r="I87" s="113"/>
      <c r="J87" s="144"/>
      <c r="K87" s="113"/>
      <c r="L87" s="152">
        <f t="shared" si="3"/>
        <v>0</v>
      </c>
      <c r="M87" s="113"/>
      <c r="N87" s="113"/>
      <c r="O87" s="113"/>
      <c r="P87" s="113"/>
      <c r="Q87" s="152">
        <f t="shared" si="2"/>
        <v>0</v>
      </c>
      <c r="R87" s="108"/>
      <c r="S87" s="120"/>
      <c r="T87" s="374"/>
      <c r="U87" s="121"/>
      <c r="V87" s="121"/>
      <c r="W87" s="121"/>
      <c r="X87" s="121"/>
      <c r="Y87" s="121"/>
      <c r="Z87" s="121"/>
    </row>
    <row r="88" spans="1:26" s="11" customFormat="1" ht="48">
      <c r="A88" s="550"/>
      <c r="B88" s="553"/>
      <c r="C88" s="119">
        <v>50</v>
      </c>
      <c r="D88" s="406" t="s">
        <v>62</v>
      </c>
      <c r="E88" s="45" t="s">
        <v>122</v>
      </c>
      <c r="F88" s="110" t="s">
        <v>457</v>
      </c>
      <c r="G88" s="113"/>
      <c r="H88" s="120"/>
      <c r="I88" s="113"/>
      <c r="J88" s="144">
        <v>4</v>
      </c>
      <c r="K88" s="113"/>
      <c r="L88" s="152">
        <f t="shared" si="3"/>
        <v>0</v>
      </c>
      <c r="M88" s="113"/>
      <c r="N88" s="113"/>
      <c r="O88" s="113"/>
      <c r="P88" s="113"/>
      <c r="Q88" s="152">
        <f t="shared" si="2"/>
        <v>0</v>
      </c>
      <c r="R88" s="108"/>
      <c r="S88" s="120"/>
      <c r="T88" s="374"/>
      <c r="U88" s="121"/>
      <c r="V88" s="121"/>
      <c r="W88" s="121"/>
      <c r="X88" s="121"/>
      <c r="Y88" s="121"/>
      <c r="Z88" s="121"/>
    </row>
    <row r="89" spans="1:26" s="11" customFormat="1" ht="60.75">
      <c r="A89" s="550"/>
      <c r="B89" s="553"/>
      <c r="C89" s="119">
        <v>50</v>
      </c>
      <c r="D89" s="408"/>
      <c r="E89" s="38" t="s">
        <v>123</v>
      </c>
      <c r="F89" s="110" t="s">
        <v>458</v>
      </c>
      <c r="G89" s="113"/>
      <c r="H89" s="120"/>
      <c r="I89" s="113"/>
      <c r="J89" s="144">
        <v>1</v>
      </c>
      <c r="K89" s="113"/>
      <c r="L89" s="152">
        <f t="shared" si="3"/>
        <v>0</v>
      </c>
      <c r="M89" s="113"/>
      <c r="N89" s="113"/>
      <c r="O89" s="113"/>
      <c r="P89" s="113"/>
      <c r="Q89" s="152">
        <f t="shared" si="2"/>
        <v>0</v>
      </c>
      <c r="R89" s="108"/>
      <c r="S89" s="120"/>
      <c r="T89" s="372">
        <v>41639</v>
      </c>
      <c r="U89" s="121"/>
      <c r="V89" s="121"/>
      <c r="W89" s="121"/>
      <c r="X89" s="121"/>
      <c r="Y89" s="121"/>
      <c r="Z89" s="121"/>
    </row>
    <row r="90" spans="1:26" s="11" customFormat="1" ht="15">
      <c r="A90" s="550"/>
      <c r="B90" s="553"/>
      <c r="C90" s="119">
        <f>SUM(C88:C89)</f>
        <v>100</v>
      </c>
      <c r="D90" s="407"/>
      <c r="E90" s="31" t="s">
        <v>342</v>
      </c>
      <c r="F90" s="110"/>
      <c r="G90" s="113"/>
      <c r="H90" s="120"/>
      <c r="I90" s="113"/>
      <c r="J90" s="144"/>
      <c r="K90" s="113"/>
      <c r="L90" s="152">
        <f t="shared" si="3"/>
        <v>0</v>
      </c>
      <c r="M90" s="113"/>
      <c r="N90" s="113"/>
      <c r="O90" s="113"/>
      <c r="P90" s="113"/>
      <c r="Q90" s="152">
        <f t="shared" si="2"/>
        <v>0</v>
      </c>
      <c r="R90" s="108"/>
      <c r="S90" s="120"/>
      <c r="T90" s="372">
        <v>41639</v>
      </c>
      <c r="U90" s="121"/>
      <c r="V90" s="121"/>
      <c r="W90" s="121"/>
      <c r="X90" s="121"/>
      <c r="Y90" s="121"/>
      <c r="Z90" s="121"/>
    </row>
    <row r="91" spans="1:26" s="11" customFormat="1" ht="72.75">
      <c r="A91" s="550"/>
      <c r="B91" s="553"/>
      <c r="C91" s="119">
        <v>0</v>
      </c>
      <c r="D91" s="406" t="s">
        <v>124</v>
      </c>
      <c r="E91" s="38" t="s">
        <v>273</v>
      </c>
      <c r="F91" s="110" t="s">
        <v>459</v>
      </c>
      <c r="G91" s="113"/>
      <c r="H91" s="120"/>
      <c r="I91" s="113"/>
      <c r="J91" s="144">
        <v>0</v>
      </c>
      <c r="K91" s="113"/>
      <c r="L91" s="152">
        <f t="shared" si="3"/>
        <v>0</v>
      </c>
      <c r="M91" s="113"/>
      <c r="N91" s="113"/>
      <c r="O91" s="113"/>
      <c r="P91" s="113"/>
      <c r="Q91" s="152">
        <f t="shared" si="2"/>
        <v>0</v>
      </c>
      <c r="R91" s="108"/>
      <c r="S91" s="120"/>
      <c r="T91" s="372">
        <v>41639</v>
      </c>
      <c r="U91" s="121"/>
      <c r="V91" s="121"/>
      <c r="W91" s="121"/>
      <c r="X91" s="121"/>
      <c r="Y91" s="121"/>
      <c r="Z91" s="121"/>
    </row>
    <row r="92" spans="1:26" s="11" customFormat="1" ht="72.75">
      <c r="A92" s="550"/>
      <c r="B92" s="553"/>
      <c r="C92" s="119">
        <v>20</v>
      </c>
      <c r="D92" s="408"/>
      <c r="E92" s="38" t="s">
        <v>130</v>
      </c>
      <c r="F92" s="110" t="s">
        <v>460</v>
      </c>
      <c r="G92" s="113"/>
      <c r="H92" s="120"/>
      <c r="I92" s="113"/>
      <c r="J92" s="144">
        <v>10</v>
      </c>
      <c r="K92" s="113"/>
      <c r="L92" s="152">
        <f t="shared" si="3"/>
        <v>0</v>
      </c>
      <c r="M92" s="113"/>
      <c r="N92" s="113"/>
      <c r="O92" s="113"/>
      <c r="P92" s="113"/>
      <c r="Q92" s="152">
        <f t="shared" si="2"/>
        <v>0</v>
      </c>
      <c r="R92" s="108"/>
      <c r="S92" s="120"/>
      <c r="T92" s="372">
        <v>41639</v>
      </c>
      <c r="U92" s="121"/>
      <c r="V92" s="121"/>
      <c r="W92" s="121"/>
      <c r="X92" s="121"/>
      <c r="Y92" s="121"/>
      <c r="Z92" s="121"/>
    </row>
    <row r="93" spans="1:26" s="11" customFormat="1" ht="84.75">
      <c r="A93" s="550"/>
      <c r="B93" s="553"/>
      <c r="C93" s="119">
        <v>0</v>
      </c>
      <c r="D93" s="408"/>
      <c r="E93" s="38" t="s">
        <v>274</v>
      </c>
      <c r="F93" s="110" t="s">
        <v>461</v>
      </c>
      <c r="G93" s="113"/>
      <c r="H93" s="120"/>
      <c r="I93" s="113"/>
      <c r="J93" s="144">
        <v>0</v>
      </c>
      <c r="K93" s="113"/>
      <c r="L93" s="152">
        <f t="shared" si="3"/>
        <v>0</v>
      </c>
      <c r="M93" s="113"/>
      <c r="N93" s="113"/>
      <c r="O93" s="113"/>
      <c r="P93" s="113"/>
      <c r="Q93" s="152">
        <f t="shared" si="2"/>
        <v>0</v>
      </c>
      <c r="R93" s="108"/>
      <c r="S93" s="120"/>
      <c r="T93" s="372">
        <v>41639</v>
      </c>
      <c r="U93" s="121"/>
      <c r="V93" s="121"/>
      <c r="W93" s="121"/>
      <c r="X93" s="121"/>
      <c r="Y93" s="121"/>
      <c r="Z93" s="121"/>
    </row>
    <row r="94" spans="1:26" s="11" customFormat="1" ht="48.75">
      <c r="A94" s="550"/>
      <c r="B94" s="553"/>
      <c r="C94" s="119">
        <v>20</v>
      </c>
      <c r="D94" s="408"/>
      <c r="E94" s="38" t="s">
        <v>131</v>
      </c>
      <c r="F94" s="110" t="s">
        <v>462</v>
      </c>
      <c r="G94" s="113"/>
      <c r="H94" s="120"/>
      <c r="I94" s="113"/>
      <c r="J94" s="144">
        <v>1</v>
      </c>
      <c r="K94" s="113"/>
      <c r="L94" s="152">
        <f t="shared" si="3"/>
        <v>0</v>
      </c>
      <c r="M94" s="113"/>
      <c r="N94" s="113"/>
      <c r="O94" s="113"/>
      <c r="P94" s="113"/>
      <c r="Q94" s="152">
        <f t="shared" si="2"/>
        <v>0</v>
      </c>
      <c r="R94" s="108"/>
      <c r="S94" s="120"/>
      <c r="T94" s="372">
        <v>41639</v>
      </c>
      <c r="U94" s="121"/>
      <c r="V94" s="121"/>
      <c r="W94" s="121"/>
      <c r="X94" s="121"/>
      <c r="Y94" s="121"/>
      <c r="Z94" s="121"/>
    </row>
    <row r="95" spans="1:26" s="11" customFormat="1" ht="72.75">
      <c r="A95" s="550"/>
      <c r="B95" s="553"/>
      <c r="C95" s="119">
        <v>20</v>
      </c>
      <c r="D95" s="408"/>
      <c r="E95" s="38" t="s">
        <v>132</v>
      </c>
      <c r="F95" s="110" t="s">
        <v>432</v>
      </c>
      <c r="G95" s="113"/>
      <c r="H95" s="120"/>
      <c r="I95" s="113"/>
      <c r="J95" s="144">
        <v>1</v>
      </c>
      <c r="K95" s="113"/>
      <c r="L95" s="152">
        <f t="shared" si="3"/>
        <v>0</v>
      </c>
      <c r="M95" s="113"/>
      <c r="N95" s="113"/>
      <c r="O95" s="113"/>
      <c r="P95" s="113"/>
      <c r="Q95" s="152">
        <f t="shared" si="2"/>
        <v>0</v>
      </c>
      <c r="R95" s="108"/>
      <c r="S95" s="120"/>
      <c r="T95" s="372">
        <v>41639</v>
      </c>
      <c r="U95" s="121"/>
      <c r="V95" s="121"/>
      <c r="W95" s="121"/>
      <c r="X95" s="121"/>
      <c r="Y95" s="121"/>
      <c r="Z95" s="121"/>
    </row>
    <row r="96" spans="1:26" s="11" customFormat="1" ht="60.75">
      <c r="A96" s="550"/>
      <c r="B96" s="553"/>
      <c r="C96" s="119">
        <v>0</v>
      </c>
      <c r="D96" s="408"/>
      <c r="E96" s="38" t="s">
        <v>133</v>
      </c>
      <c r="F96" s="110" t="s">
        <v>463</v>
      </c>
      <c r="G96" s="113"/>
      <c r="H96" s="120"/>
      <c r="I96" s="113"/>
      <c r="J96" s="144">
        <v>0</v>
      </c>
      <c r="K96" s="113"/>
      <c r="L96" s="152">
        <f t="shared" si="3"/>
        <v>0</v>
      </c>
      <c r="M96" s="113"/>
      <c r="N96" s="113"/>
      <c r="O96" s="113"/>
      <c r="P96" s="113"/>
      <c r="Q96" s="152">
        <f t="shared" si="2"/>
        <v>0</v>
      </c>
      <c r="R96" s="108"/>
      <c r="S96" s="120"/>
      <c r="T96" s="372">
        <v>41639</v>
      </c>
      <c r="U96" s="121"/>
      <c r="V96" s="121"/>
      <c r="W96" s="121"/>
      <c r="X96" s="121"/>
      <c r="Y96" s="121"/>
      <c r="Z96" s="121"/>
    </row>
    <row r="97" spans="1:26" s="11" customFormat="1" ht="84">
      <c r="A97" s="550"/>
      <c r="B97" s="553"/>
      <c r="C97" s="119">
        <v>10</v>
      </c>
      <c r="D97" s="408"/>
      <c r="E97" s="355" t="s">
        <v>333</v>
      </c>
      <c r="F97" s="356" t="s">
        <v>464</v>
      </c>
      <c r="G97" s="357"/>
      <c r="H97" s="358" t="s">
        <v>670</v>
      </c>
      <c r="I97" s="357" t="s">
        <v>619</v>
      </c>
      <c r="J97" s="359">
        <v>5</v>
      </c>
      <c r="K97" s="357"/>
      <c r="L97" s="357">
        <f t="shared" si="3"/>
        <v>14100000</v>
      </c>
      <c r="M97" s="360"/>
      <c r="N97" s="357">
        <v>14100000</v>
      </c>
      <c r="O97" s="357"/>
      <c r="P97" s="357"/>
      <c r="Q97" s="357">
        <f t="shared" si="2"/>
        <v>14100000</v>
      </c>
      <c r="R97" s="108" t="s">
        <v>733</v>
      </c>
      <c r="S97" s="120" t="s">
        <v>620</v>
      </c>
      <c r="T97" s="372">
        <v>41639</v>
      </c>
      <c r="U97" s="121"/>
      <c r="V97" s="121"/>
      <c r="W97" s="121"/>
      <c r="X97" s="121"/>
      <c r="Y97" s="121"/>
      <c r="Z97" s="121"/>
    </row>
    <row r="98" spans="1:26" s="11" customFormat="1" ht="96.75">
      <c r="A98" s="550"/>
      <c r="B98" s="553"/>
      <c r="C98" s="119">
        <v>10</v>
      </c>
      <c r="D98" s="408"/>
      <c r="E98" s="38" t="s">
        <v>334</v>
      </c>
      <c r="F98" s="110" t="s">
        <v>465</v>
      </c>
      <c r="G98" s="113"/>
      <c r="H98" s="120"/>
      <c r="I98" s="113"/>
      <c r="J98" s="144">
        <v>15</v>
      </c>
      <c r="K98" s="113"/>
      <c r="L98" s="152">
        <f t="shared" si="3"/>
        <v>0</v>
      </c>
      <c r="M98" s="113"/>
      <c r="N98" s="113"/>
      <c r="O98" s="113"/>
      <c r="P98" s="113"/>
      <c r="Q98" s="152">
        <f t="shared" si="2"/>
        <v>0</v>
      </c>
      <c r="R98" s="108"/>
      <c r="S98" s="120"/>
      <c r="T98" s="372">
        <v>41639</v>
      </c>
      <c r="U98" s="121"/>
      <c r="V98" s="121"/>
      <c r="W98" s="121"/>
      <c r="X98" s="121"/>
      <c r="Y98" s="121"/>
      <c r="Z98" s="121"/>
    </row>
    <row r="99" spans="1:26" s="11" customFormat="1" ht="60.75">
      <c r="A99" s="550"/>
      <c r="B99" s="553"/>
      <c r="C99" s="119">
        <v>10</v>
      </c>
      <c r="D99" s="408"/>
      <c r="E99" s="38" t="s">
        <v>335</v>
      </c>
      <c r="F99" s="110" t="s">
        <v>465</v>
      </c>
      <c r="G99" s="113"/>
      <c r="H99" s="120"/>
      <c r="I99" s="113"/>
      <c r="J99" s="144">
        <v>20</v>
      </c>
      <c r="K99" s="113"/>
      <c r="L99" s="152">
        <f t="shared" si="3"/>
        <v>0</v>
      </c>
      <c r="M99" s="113"/>
      <c r="N99" s="113"/>
      <c r="O99" s="113"/>
      <c r="P99" s="113"/>
      <c r="Q99" s="152">
        <f t="shared" si="2"/>
        <v>0</v>
      </c>
      <c r="R99" s="108"/>
      <c r="S99" s="120"/>
      <c r="T99" s="372">
        <v>41639</v>
      </c>
      <c r="U99" s="121"/>
      <c r="V99" s="121"/>
      <c r="W99" s="121"/>
      <c r="X99" s="121"/>
      <c r="Y99" s="121"/>
      <c r="Z99" s="121"/>
    </row>
    <row r="100" spans="1:26" s="11" customFormat="1" ht="72.75">
      <c r="A100" s="550"/>
      <c r="B100" s="553"/>
      <c r="C100" s="119">
        <v>10</v>
      </c>
      <c r="D100" s="408"/>
      <c r="E100" s="38" t="s">
        <v>336</v>
      </c>
      <c r="F100" s="110" t="s">
        <v>466</v>
      </c>
      <c r="G100" s="113"/>
      <c r="H100" s="120"/>
      <c r="I100" s="113"/>
      <c r="J100" s="146">
        <v>0.25</v>
      </c>
      <c r="K100" s="113"/>
      <c r="L100" s="152">
        <f t="shared" si="3"/>
        <v>0</v>
      </c>
      <c r="M100" s="113"/>
      <c r="N100" s="113"/>
      <c r="O100" s="113"/>
      <c r="P100" s="113"/>
      <c r="Q100" s="152">
        <f t="shared" si="2"/>
        <v>0</v>
      </c>
      <c r="R100" s="108"/>
      <c r="S100" s="120"/>
      <c r="T100" s="372">
        <v>41639</v>
      </c>
      <c r="U100" s="121"/>
      <c r="V100" s="121"/>
      <c r="W100" s="121"/>
      <c r="X100" s="121"/>
      <c r="Y100" s="121"/>
      <c r="Z100" s="121"/>
    </row>
    <row r="101" spans="1:26" s="11" customFormat="1" ht="15">
      <c r="A101" s="550"/>
      <c r="B101" s="553"/>
      <c r="C101" s="119">
        <f>SUM(C91:C100)</f>
        <v>100</v>
      </c>
      <c r="D101" s="407"/>
      <c r="E101" s="31" t="s">
        <v>342</v>
      </c>
      <c r="F101" s="110"/>
      <c r="G101" s="113"/>
      <c r="H101" s="120"/>
      <c r="I101" s="113"/>
      <c r="J101" s="144"/>
      <c r="K101" s="113"/>
      <c r="L101" s="152">
        <f t="shared" si="3"/>
        <v>0</v>
      </c>
      <c r="M101" s="113"/>
      <c r="N101" s="113"/>
      <c r="O101" s="113"/>
      <c r="P101" s="113"/>
      <c r="Q101" s="152">
        <f t="shared" si="2"/>
        <v>0</v>
      </c>
      <c r="R101" s="108"/>
      <c r="S101" s="120"/>
      <c r="T101" s="372">
        <v>41639</v>
      </c>
      <c r="U101" s="121"/>
      <c r="V101" s="121"/>
      <c r="W101" s="121"/>
      <c r="X101" s="121"/>
      <c r="Y101" s="121"/>
      <c r="Z101" s="121"/>
    </row>
    <row r="102" spans="1:26" s="11" customFormat="1" ht="60.75">
      <c r="A102" s="550"/>
      <c r="B102" s="553"/>
      <c r="C102" s="119">
        <v>20</v>
      </c>
      <c r="D102" s="406" t="s">
        <v>343</v>
      </c>
      <c r="E102" s="38" t="s">
        <v>134</v>
      </c>
      <c r="F102" s="110" t="s">
        <v>467</v>
      </c>
      <c r="G102" s="113"/>
      <c r="H102" s="120"/>
      <c r="I102" s="113"/>
      <c r="J102" s="144">
        <v>4</v>
      </c>
      <c r="K102" s="113"/>
      <c r="L102" s="152">
        <f t="shared" si="3"/>
        <v>0</v>
      </c>
      <c r="M102" s="113"/>
      <c r="N102" s="113"/>
      <c r="O102" s="113"/>
      <c r="P102" s="113"/>
      <c r="Q102" s="152">
        <f t="shared" si="2"/>
        <v>0</v>
      </c>
      <c r="R102" s="108"/>
      <c r="S102" s="120"/>
      <c r="T102" s="372">
        <v>41639</v>
      </c>
      <c r="U102" s="121"/>
      <c r="V102" s="121"/>
      <c r="W102" s="121"/>
      <c r="X102" s="121"/>
      <c r="Y102" s="121"/>
      <c r="Z102" s="121"/>
    </row>
    <row r="103" spans="1:26" s="11" customFormat="1" ht="84.75">
      <c r="A103" s="550"/>
      <c r="B103" s="553"/>
      <c r="C103" s="119">
        <v>0</v>
      </c>
      <c r="D103" s="408"/>
      <c r="E103" s="325" t="s">
        <v>135</v>
      </c>
      <c r="F103" s="326" t="s">
        <v>468</v>
      </c>
      <c r="G103" s="327"/>
      <c r="H103" s="328"/>
      <c r="I103" s="327"/>
      <c r="J103" s="329">
        <v>0</v>
      </c>
      <c r="K103" s="327"/>
      <c r="L103" s="327">
        <f t="shared" si="3"/>
        <v>12800000</v>
      </c>
      <c r="M103" s="327"/>
      <c r="N103" s="327">
        <v>12800000</v>
      </c>
      <c r="O103" s="327"/>
      <c r="P103" s="327"/>
      <c r="Q103" s="327">
        <f t="shared" si="2"/>
        <v>12800000</v>
      </c>
      <c r="R103" s="108" t="s">
        <v>732</v>
      </c>
      <c r="S103" s="120"/>
      <c r="T103" s="372">
        <v>41639</v>
      </c>
      <c r="U103" s="121"/>
      <c r="V103" s="121"/>
      <c r="W103" s="121"/>
      <c r="X103" s="121"/>
      <c r="Y103" s="121"/>
      <c r="Z103" s="121"/>
    </row>
    <row r="104" spans="1:26" s="11" customFormat="1" ht="36.75">
      <c r="A104" s="550"/>
      <c r="B104" s="553"/>
      <c r="C104" s="119">
        <v>20</v>
      </c>
      <c r="D104" s="408"/>
      <c r="E104" s="38" t="s">
        <v>136</v>
      </c>
      <c r="F104" s="110" t="s">
        <v>469</v>
      </c>
      <c r="G104" s="113"/>
      <c r="H104" s="120"/>
      <c r="I104" s="113"/>
      <c r="J104" s="144">
        <v>1</v>
      </c>
      <c r="K104" s="113"/>
      <c r="L104" s="152">
        <f t="shared" si="3"/>
        <v>0</v>
      </c>
      <c r="M104" s="113"/>
      <c r="N104" s="113"/>
      <c r="O104" s="113"/>
      <c r="P104" s="113"/>
      <c r="Q104" s="152">
        <f t="shared" si="2"/>
        <v>0</v>
      </c>
      <c r="R104" s="108"/>
      <c r="S104" s="120"/>
      <c r="T104" s="372">
        <v>41639</v>
      </c>
      <c r="U104" s="121"/>
      <c r="V104" s="121"/>
      <c r="W104" s="121"/>
      <c r="X104" s="121"/>
      <c r="Y104" s="121"/>
      <c r="Z104" s="121"/>
    </row>
    <row r="105" spans="1:26" s="11" customFormat="1" ht="84.75">
      <c r="A105" s="550"/>
      <c r="B105" s="553"/>
      <c r="C105" s="119">
        <v>20</v>
      </c>
      <c r="D105" s="408"/>
      <c r="E105" s="38" t="s">
        <v>137</v>
      </c>
      <c r="F105" s="110" t="s">
        <v>470</v>
      </c>
      <c r="G105" s="113"/>
      <c r="H105" s="120"/>
      <c r="I105" s="113"/>
      <c r="J105" s="144">
        <v>70</v>
      </c>
      <c r="K105" s="113"/>
      <c r="L105" s="152">
        <f t="shared" si="3"/>
        <v>0</v>
      </c>
      <c r="M105" s="113"/>
      <c r="N105" s="113"/>
      <c r="O105" s="113"/>
      <c r="P105" s="113"/>
      <c r="Q105" s="152">
        <f t="shared" si="2"/>
        <v>0</v>
      </c>
      <c r="R105" s="108"/>
      <c r="S105" s="120"/>
      <c r="T105" s="372">
        <v>41639</v>
      </c>
      <c r="U105" s="121"/>
      <c r="V105" s="121"/>
      <c r="W105" s="121"/>
      <c r="X105" s="121"/>
      <c r="Y105" s="121"/>
      <c r="Z105" s="121"/>
    </row>
    <row r="106" spans="1:26" s="11" customFormat="1" ht="96.75">
      <c r="A106" s="550"/>
      <c r="B106" s="553"/>
      <c r="C106" s="119">
        <v>20</v>
      </c>
      <c r="D106" s="408"/>
      <c r="E106" s="355" t="s">
        <v>275</v>
      </c>
      <c r="F106" s="356" t="s">
        <v>471</v>
      </c>
      <c r="G106" s="357"/>
      <c r="H106" s="358"/>
      <c r="I106" s="357"/>
      <c r="J106" s="359">
        <v>4</v>
      </c>
      <c r="K106" s="357"/>
      <c r="L106" s="357">
        <f t="shared" si="3"/>
        <v>5000000</v>
      </c>
      <c r="M106" s="357"/>
      <c r="N106" s="357">
        <v>5000000</v>
      </c>
      <c r="O106" s="357"/>
      <c r="P106" s="357"/>
      <c r="Q106" s="357">
        <f t="shared" si="2"/>
        <v>5000000</v>
      </c>
      <c r="R106" s="108" t="s">
        <v>757</v>
      </c>
      <c r="S106" s="120"/>
      <c r="T106" s="372">
        <v>41639</v>
      </c>
      <c r="U106" s="121"/>
      <c r="V106" s="121"/>
      <c r="W106" s="121"/>
      <c r="X106" s="121"/>
      <c r="Y106" s="121"/>
      <c r="Z106" s="121"/>
    </row>
    <row r="107" spans="1:26" s="11" customFormat="1" ht="84.75">
      <c r="A107" s="550"/>
      <c r="B107" s="553"/>
      <c r="C107" s="119">
        <v>20</v>
      </c>
      <c r="D107" s="408"/>
      <c r="E107" s="38" t="s">
        <v>276</v>
      </c>
      <c r="F107" s="110" t="s">
        <v>472</v>
      </c>
      <c r="G107" s="113"/>
      <c r="H107" s="120"/>
      <c r="I107" s="113"/>
      <c r="J107" s="144">
        <v>25</v>
      </c>
      <c r="K107" s="113"/>
      <c r="L107" s="152">
        <f t="shared" si="3"/>
        <v>0</v>
      </c>
      <c r="M107" s="113"/>
      <c r="N107" s="113"/>
      <c r="O107" s="113"/>
      <c r="P107" s="113"/>
      <c r="Q107" s="152">
        <f t="shared" si="2"/>
        <v>0</v>
      </c>
      <c r="R107" s="108"/>
      <c r="S107" s="120"/>
      <c r="T107" s="372">
        <v>41639</v>
      </c>
      <c r="U107" s="121"/>
      <c r="V107" s="121"/>
      <c r="W107" s="121"/>
      <c r="X107" s="121"/>
      <c r="Y107" s="121"/>
      <c r="Z107" s="121"/>
    </row>
    <row r="108" spans="1:26" s="11" customFormat="1" ht="15">
      <c r="A108" s="550"/>
      <c r="B108" s="553"/>
      <c r="C108" s="119">
        <f>SUM(C102:C107)</f>
        <v>100</v>
      </c>
      <c r="D108" s="407"/>
      <c r="E108" s="31" t="s">
        <v>342</v>
      </c>
      <c r="F108" s="110"/>
      <c r="G108" s="113"/>
      <c r="H108" s="120"/>
      <c r="I108" s="113"/>
      <c r="J108" s="144"/>
      <c r="K108" s="113"/>
      <c r="L108" s="152">
        <f t="shared" si="3"/>
        <v>0</v>
      </c>
      <c r="M108" s="113"/>
      <c r="N108" s="113"/>
      <c r="O108" s="113"/>
      <c r="P108" s="113"/>
      <c r="Q108" s="152">
        <f t="shared" si="2"/>
        <v>0</v>
      </c>
      <c r="R108" s="108"/>
      <c r="S108" s="120"/>
      <c r="T108" s="372">
        <v>41639</v>
      </c>
      <c r="U108" s="121"/>
      <c r="V108" s="121"/>
      <c r="W108" s="121"/>
      <c r="X108" s="121"/>
      <c r="Y108" s="121"/>
      <c r="Z108" s="121"/>
    </row>
    <row r="109" spans="1:26" s="41" customFormat="1" ht="60.75">
      <c r="A109" s="550"/>
      <c r="B109" s="553"/>
      <c r="C109" s="115">
        <v>30</v>
      </c>
      <c r="D109" s="406" t="s">
        <v>138</v>
      </c>
      <c r="E109" s="38" t="s">
        <v>277</v>
      </c>
      <c r="F109" s="110" t="s">
        <v>473</v>
      </c>
      <c r="G109" s="112"/>
      <c r="H109" s="108"/>
      <c r="I109" s="112"/>
      <c r="J109" s="141">
        <v>1</v>
      </c>
      <c r="K109" s="112"/>
      <c r="L109" s="152">
        <f t="shared" si="3"/>
        <v>0</v>
      </c>
      <c r="M109" s="112"/>
      <c r="N109" s="112"/>
      <c r="O109" s="112"/>
      <c r="P109" s="112"/>
      <c r="Q109" s="152">
        <f t="shared" si="2"/>
        <v>0</v>
      </c>
      <c r="R109" s="108"/>
      <c r="S109" s="108"/>
      <c r="T109" s="372">
        <v>41639</v>
      </c>
      <c r="U109" s="114"/>
      <c r="V109" s="114"/>
      <c r="W109" s="114"/>
      <c r="X109" s="114"/>
      <c r="Y109" s="114"/>
      <c r="Z109" s="114"/>
    </row>
    <row r="110" spans="1:26" s="41" customFormat="1" ht="36.75">
      <c r="A110" s="550"/>
      <c r="B110" s="553"/>
      <c r="C110" s="115">
        <v>40</v>
      </c>
      <c r="D110" s="408"/>
      <c r="E110" s="38" t="s">
        <v>63</v>
      </c>
      <c r="F110" s="110" t="s">
        <v>474</v>
      </c>
      <c r="G110" s="112"/>
      <c r="H110" s="108"/>
      <c r="I110" s="112"/>
      <c r="J110" s="141">
        <v>1</v>
      </c>
      <c r="K110" s="112"/>
      <c r="L110" s="152">
        <f t="shared" si="3"/>
        <v>0</v>
      </c>
      <c r="M110" s="112"/>
      <c r="N110" s="112"/>
      <c r="O110" s="112"/>
      <c r="P110" s="112"/>
      <c r="Q110" s="152">
        <f t="shared" si="2"/>
        <v>0</v>
      </c>
      <c r="R110" s="108"/>
      <c r="S110" s="108"/>
      <c r="T110" s="372">
        <v>41639</v>
      </c>
      <c r="U110" s="114"/>
      <c r="V110" s="114"/>
      <c r="W110" s="114"/>
      <c r="X110" s="114"/>
      <c r="Y110" s="114"/>
      <c r="Z110" s="114"/>
    </row>
    <row r="111" spans="1:26" s="41" customFormat="1" ht="72.75">
      <c r="A111" s="550"/>
      <c r="B111" s="553"/>
      <c r="C111" s="115">
        <v>0</v>
      </c>
      <c r="D111" s="408"/>
      <c r="E111" s="38" t="s">
        <v>278</v>
      </c>
      <c r="F111" s="110" t="s">
        <v>475</v>
      </c>
      <c r="G111" s="112"/>
      <c r="H111" s="108"/>
      <c r="I111" s="112"/>
      <c r="J111" s="141">
        <v>0</v>
      </c>
      <c r="K111" s="112"/>
      <c r="L111" s="152">
        <f t="shared" si="3"/>
        <v>0</v>
      </c>
      <c r="M111" s="112"/>
      <c r="N111" s="112"/>
      <c r="O111" s="112"/>
      <c r="P111" s="112"/>
      <c r="Q111" s="152">
        <f t="shared" si="2"/>
        <v>0</v>
      </c>
      <c r="R111" s="108"/>
      <c r="S111" s="108"/>
      <c r="T111" s="372">
        <v>41639</v>
      </c>
      <c r="U111" s="114"/>
      <c r="V111" s="114"/>
      <c r="W111" s="114"/>
      <c r="X111" s="114"/>
      <c r="Y111" s="114"/>
      <c r="Z111" s="114"/>
    </row>
    <row r="112" spans="1:26" s="41" customFormat="1" ht="48.75">
      <c r="A112" s="550"/>
      <c r="B112" s="553"/>
      <c r="C112" s="115">
        <v>0</v>
      </c>
      <c r="D112" s="408"/>
      <c r="E112" s="38" t="s">
        <v>76</v>
      </c>
      <c r="F112" s="110" t="s">
        <v>476</v>
      </c>
      <c r="G112" s="112"/>
      <c r="H112" s="108"/>
      <c r="I112" s="112"/>
      <c r="J112" s="141">
        <v>0</v>
      </c>
      <c r="K112" s="112"/>
      <c r="L112" s="152">
        <f t="shared" si="3"/>
        <v>0</v>
      </c>
      <c r="M112" s="112"/>
      <c r="N112" s="112"/>
      <c r="O112" s="112"/>
      <c r="P112" s="112"/>
      <c r="Q112" s="152">
        <f t="shared" si="2"/>
        <v>0</v>
      </c>
      <c r="R112" s="108"/>
      <c r="S112" s="108"/>
      <c r="T112" s="372">
        <v>41639</v>
      </c>
      <c r="U112" s="114"/>
      <c r="V112" s="114"/>
      <c r="W112" s="114"/>
      <c r="X112" s="114"/>
      <c r="Y112" s="114"/>
      <c r="Z112" s="114"/>
    </row>
    <row r="113" spans="1:26" s="41" customFormat="1" ht="60.75">
      <c r="A113" s="550"/>
      <c r="B113" s="553"/>
      <c r="C113" s="115">
        <v>30</v>
      </c>
      <c r="D113" s="408"/>
      <c r="E113" s="355" t="s">
        <v>64</v>
      </c>
      <c r="F113" s="356" t="s">
        <v>477</v>
      </c>
      <c r="G113" s="357"/>
      <c r="H113" s="358"/>
      <c r="I113" s="357"/>
      <c r="J113" s="359">
        <v>1</v>
      </c>
      <c r="K113" s="357"/>
      <c r="L113" s="357">
        <f t="shared" si="3"/>
        <v>1000000</v>
      </c>
      <c r="M113" s="357"/>
      <c r="N113" s="357">
        <v>1000000</v>
      </c>
      <c r="O113" s="357"/>
      <c r="P113" s="357"/>
      <c r="Q113" s="357">
        <f t="shared" si="2"/>
        <v>1000000</v>
      </c>
      <c r="R113" s="108" t="s">
        <v>758</v>
      </c>
      <c r="S113" s="108"/>
      <c r="T113" s="372">
        <v>41639</v>
      </c>
      <c r="U113" s="114"/>
      <c r="V113" s="114"/>
      <c r="W113" s="114"/>
      <c r="X113" s="114"/>
      <c r="Y113" s="114"/>
      <c r="Z113" s="114"/>
    </row>
    <row r="114" spans="1:26" s="11" customFormat="1" ht="15">
      <c r="A114" s="550"/>
      <c r="B114" s="553"/>
      <c r="C114" s="119">
        <f>SUM(C109:C113)</f>
        <v>100</v>
      </c>
      <c r="D114" s="407"/>
      <c r="E114" s="31" t="s">
        <v>342</v>
      </c>
      <c r="F114" s="110"/>
      <c r="G114" s="113"/>
      <c r="H114" s="120"/>
      <c r="I114" s="113"/>
      <c r="J114" s="144"/>
      <c r="K114" s="113"/>
      <c r="L114" s="152">
        <f t="shared" si="3"/>
        <v>0</v>
      </c>
      <c r="M114" s="113"/>
      <c r="N114" s="113"/>
      <c r="O114" s="113"/>
      <c r="P114" s="113"/>
      <c r="Q114" s="152">
        <f t="shared" si="2"/>
        <v>0</v>
      </c>
      <c r="R114" s="108"/>
      <c r="S114" s="120"/>
      <c r="T114" s="372">
        <v>41639</v>
      </c>
      <c r="U114" s="121"/>
      <c r="V114" s="121"/>
      <c r="W114" s="121"/>
      <c r="X114" s="121"/>
      <c r="Y114" s="121"/>
      <c r="Z114" s="121"/>
    </row>
    <row r="115" spans="1:26" s="11" customFormat="1" ht="108">
      <c r="A115" s="550"/>
      <c r="B115" s="553"/>
      <c r="C115" s="119">
        <v>50</v>
      </c>
      <c r="D115" s="406" t="s">
        <v>140</v>
      </c>
      <c r="E115" s="355" t="s">
        <v>139</v>
      </c>
      <c r="F115" s="356" t="s">
        <v>467</v>
      </c>
      <c r="G115" s="357"/>
      <c r="H115" s="358" t="s">
        <v>707</v>
      </c>
      <c r="I115" s="357"/>
      <c r="J115" s="359">
        <v>1</v>
      </c>
      <c r="K115" s="357"/>
      <c r="L115" s="357">
        <f t="shared" si="3"/>
        <v>15000000</v>
      </c>
      <c r="M115" s="357"/>
      <c r="N115" s="357">
        <v>15000000</v>
      </c>
      <c r="O115" s="357"/>
      <c r="P115" s="357"/>
      <c r="Q115" s="357">
        <f t="shared" si="2"/>
        <v>15000000</v>
      </c>
      <c r="R115" s="108" t="s">
        <v>759</v>
      </c>
      <c r="S115" s="120"/>
      <c r="T115" s="372">
        <v>41639</v>
      </c>
      <c r="U115" s="121"/>
      <c r="V115" s="121"/>
      <c r="W115" s="121"/>
      <c r="X115" s="121"/>
      <c r="Y115" s="121"/>
      <c r="Z115" s="121"/>
    </row>
    <row r="116" spans="1:26" s="11" customFormat="1" ht="72">
      <c r="A116" s="550"/>
      <c r="B116" s="553"/>
      <c r="C116" s="119">
        <v>50</v>
      </c>
      <c r="D116" s="408"/>
      <c r="E116" s="355" t="s">
        <v>279</v>
      </c>
      <c r="F116" s="356" t="s">
        <v>478</v>
      </c>
      <c r="G116" s="357"/>
      <c r="H116" s="358" t="s">
        <v>671</v>
      </c>
      <c r="I116" s="357"/>
      <c r="J116" s="359">
        <v>1</v>
      </c>
      <c r="K116" s="357">
        <v>0</v>
      </c>
      <c r="L116" s="357">
        <f t="shared" si="3"/>
        <v>30000000</v>
      </c>
      <c r="M116" s="357">
        <v>30000000</v>
      </c>
      <c r="N116" s="357"/>
      <c r="O116" s="357"/>
      <c r="P116" s="357"/>
      <c r="Q116" s="357">
        <f t="shared" si="2"/>
        <v>30000000</v>
      </c>
      <c r="R116" s="108" t="s">
        <v>760</v>
      </c>
      <c r="S116" s="120"/>
      <c r="T116" s="372">
        <v>41639</v>
      </c>
      <c r="U116" s="121"/>
      <c r="V116" s="121"/>
      <c r="W116" s="121"/>
      <c r="X116" s="121"/>
      <c r="Y116" s="121"/>
      <c r="Z116" s="121"/>
    </row>
    <row r="117" spans="1:26" s="11" customFormat="1" ht="132.75">
      <c r="A117" s="550"/>
      <c r="B117" s="553"/>
      <c r="C117" s="119">
        <v>0</v>
      </c>
      <c r="D117" s="408"/>
      <c r="E117" s="43" t="s">
        <v>280</v>
      </c>
      <c r="F117" s="110" t="s">
        <v>479</v>
      </c>
      <c r="G117" s="113"/>
      <c r="H117" s="108" t="s">
        <v>672</v>
      </c>
      <c r="I117" s="113"/>
      <c r="J117" s="144">
        <v>0</v>
      </c>
      <c r="K117" s="113">
        <v>0</v>
      </c>
      <c r="L117" s="152">
        <f t="shared" si="3"/>
        <v>0</v>
      </c>
      <c r="M117" s="113"/>
      <c r="N117" s="113"/>
      <c r="O117" s="113"/>
      <c r="P117" s="113"/>
      <c r="Q117" s="152">
        <f t="shared" si="2"/>
        <v>0</v>
      </c>
      <c r="R117" s="108"/>
      <c r="S117" s="120"/>
      <c r="T117" s="372">
        <v>41639</v>
      </c>
      <c r="U117" s="121"/>
      <c r="V117" s="121"/>
      <c r="W117" s="121"/>
      <c r="X117" s="121"/>
      <c r="Y117" s="121"/>
      <c r="Z117" s="121"/>
    </row>
    <row r="118" spans="1:26" s="11" customFormat="1" ht="15">
      <c r="A118" s="550"/>
      <c r="B118" s="553"/>
      <c r="C118" s="119">
        <f>SUM(C115:C117)</f>
        <v>100</v>
      </c>
      <c r="D118" s="407"/>
      <c r="E118" s="31" t="s">
        <v>342</v>
      </c>
      <c r="F118" s="110"/>
      <c r="G118" s="113"/>
      <c r="H118" s="120"/>
      <c r="I118" s="113"/>
      <c r="J118" s="144"/>
      <c r="K118" s="113"/>
      <c r="L118" s="152">
        <f t="shared" si="3"/>
        <v>0</v>
      </c>
      <c r="M118" s="113"/>
      <c r="N118" s="113"/>
      <c r="O118" s="113"/>
      <c r="P118" s="113"/>
      <c r="Q118" s="152">
        <f t="shared" si="2"/>
        <v>0</v>
      </c>
      <c r="R118" s="108"/>
      <c r="S118" s="120"/>
      <c r="T118" s="372">
        <v>41639</v>
      </c>
      <c r="U118" s="121"/>
      <c r="V118" s="121"/>
      <c r="W118" s="121"/>
      <c r="X118" s="121"/>
      <c r="Y118" s="121"/>
      <c r="Z118" s="121"/>
    </row>
    <row r="119" spans="1:26" s="11" customFormat="1" ht="144.75">
      <c r="A119" s="550"/>
      <c r="B119" s="553"/>
      <c r="C119" s="119">
        <v>50</v>
      </c>
      <c r="D119" s="406" t="s">
        <v>141</v>
      </c>
      <c r="E119" s="43" t="s">
        <v>281</v>
      </c>
      <c r="F119" s="110" t="s">
        <v>480</v>
      </c>
      <c r="G119" s="113"/>
      <c r="H119" s="120"/>
      <c r="I119" s="113"/>
      <c r="J119" s="144">
        <v>3</v>
      </c>
      <c r="K119" s="113"/>
      <c r="L119" s="152">
        <f t="shared" si="3"/>
        <v>0</v>
      </c>
      <c r="M119" s="113"/>
      <c r="N119" s="113"/>
      <c r="O119" s="113"/>
      <c r="P119" s="113"/>
      <c r="Q119" s="152">
        <f t="shared" si="2"/>
        <v>0</v>
      </c>
      <c r="R119" s="108"/>
      <c r="S119" s="120"/>
      <c r="T119" s="372">
        <v>41639</v>
      </c>
      <c r="U119" s="121"/>
      <c r="V119" s="121"/>
      <c r="W119" s="121"/>
      <c r="X119" s="121"/>
      <c r="Y119" s="121"/>
      <c r="Z119" s="121"/>
    </row>
    <row r="120" spans="1:26" s="11" customFormat="1" ht="96.75">
      <c r="A120" s="550"/>
      <c r="B120" s="553"/>
      <c r="C120" s="119">
        <v>50</v>
      </c>
      <c r="D120" s="408"/>
      <c r="E120" s="38" t="s">
        <v>142</v>
      </c>
      <c r="F120" s="110" t="s">
        <v>481</v>
      </c>
      <c r="G120" s="113"/>
      <c r="H120" s="120"/>
      <c r="I120" s="113"/>
      <c r="J120" s="144">
        <v>1</v>
      </c>
      <c r="K120" s="113"/>
      <c r="L120" s="152">
        <f t="shared" si="3"/>
        <v>0</v>
      </c>
      <c r="M120" s="113"/>
      <c r="N120" s="113"/>
      <c r="O120" s="113"/>
      <c r="P120" s="113"/>
      <c r="Q120" s="152">
        <f t="shared" si="2"/>
        <v>0</v>
      </c>
      <c r="R120" s="108"/>
      <c r="S120" s="120"/>
      <c r="T120" s="372">
        <v>41639</v>
      </c>
      <c r="U120" s="121"/>
      <c r="V120" s="121"/>
      <c r="W120" s="121"/>
      <c r="X120" s="121"/>
      <c r="Y120" s="121"/>
      <c r="Z120" s="121"/>
    </row>
    <row r="121" spans="1:26" s="11" customFormat="1" ht="60.75">
      <c r="A121" s="550"/>
      <c r="B121" s="553"/>
      <c r="C121" s="119">
        <v>0</v>
      </c>
      <c r="D121" s="408"/>
      <c r="E121" s="38" t="s">
        <v>143</v>
      </c>
      <c r="F121" s="110" t="s">
        <v>482</v>
      </c>
      <c r="G121" s="113"/>
      <c r="H121" s="120"/>
      <c r="I121" s="113"/>
      <c r="J121" s="144">
        <v>0</v>
      </c>
      <c r="K121" s="113"/>
      <c r="L121" s="152">
        <f t="shared" si="3"/>
        <v>0</v>
      </c>
      <c r="M121" s="113"/>
      <c r="N121" s="113"/>
      <c r="O121" s="113"/>
      <c r="P121" s="113"/>
      <c r="Q121" s="152">
        <f t="shared" si="2"/>
        <v>0</v>
      </c>
      <c r="R121" s="108"/>
      <c r="S121" s="120"/>
      <c r="T121" s="372">
        <v>41639</v>
      </c>
      <c r="U121" s="121"/>
      <c r="V121" s="121"/>
      <c r="W121" s="121"/>
      <c r="X121" s="121"/>
      <c r="Y121" s="121"/>
      <c r="Z121" s="121"/>
    </row>
    <row r="122" spans="1:26" s="11" customFormat="1" ht="15">
      <c r="A122" s="550"/>
      <c r="B122" s="553"/>
      <c r="C122" s="119">
        <f>SUM(C119:C121)</f>
        <v>100</v>
      </c>
      <c r="D122" s="407"/>
      <c r="E122" s="31" t="s">
        <v>342</v>
      </c>
      <c r="F122" s="110"/>
      <c r="G122" s="113"/>
      <c r="H122" s="120"/>
      <c r="I122" s="113"/>
      <c r="J122" s="144"/>
      <c r="K122" s="113"/>
      <c r="L122" s="152">
        <f t="shared" si="3"/>
        <v>0</v>
      </c>
      <c r="M122" s="113"/>
      <c r="N122" s="113"/>
      <c r="O122" s="113"/>
      <c r="P122" s="113"/>
      <c r="Q122" s="152">
        <f t="shared" si="2"/>
        <v>0</v>
      </c>
      <c r="R122" s="108"/>
      <c r="S122" s="120"/>
      <c r="T122" s="372">
        <v>41639</v>
      </c>
      <c r="U122" s="121"/>
      <c r="V122" s="121"/>
      <c r="W122" s="121"/>
      <c r="X122" s="121"/>
      <c r="Y122" s="121"/>
      <c r="Z122" s="121"/>
    </row>
    <row r="123" spans="1:26" s="11" customFormat="1" ht="96.75">
      <c r="A123" s="550"/>
      <c r="B123" s="553"/>
      <c r="C123" s="119">
        <v>30</v>
      </c>
      <c r="D123" s="406" t="s">
        <v>144</v>
      </c>
      <c r="E123" s="38" t="s">
        <v>282</v>
      </c>
      <c r="F123" s="110" t="s">
        <v>483</v>
      </c>
      <c r="G123" s="113"/>
      <c r="H123" s="120"/>
      <c r="I123" s="113"/>
      <c r="J123" s="144">
        <v>25</v>
      </c>
      <c r="K123" s="113"/>
      <c r="L123" s="152">
        <f t="shared" si="3"/>
        <v>0</v>
      </c>
      <c r="M123" s="113"/>
      <c r="N123" s="113"/>
      <c r="O123" s="113"/>
      <c r="P123" s="113"/>
      <c r="Q123" s="152">
        <f t="shared" si="2"/>
        <v>0</v>
      </c>
      <c r="R123" s="108"/>
      <c r="S123" s="120"/>
      <c r="T123" s="372">
        <v>41639</v>
      </c>
      <c r="U123" s="121"/>
      <c r="V123" s="121"/>
      <c r="W123" s="121"/>
      <c r="X123" s="121"/>
      <c r="Y123" s="121"/>
      <c r="Z123" s="121"/>
    </row>
    <row r="124" spans="1:26" s="11" customFormat="1" ht="48.75">
      <c r="A124" s="550"/>
      <c r="B124" s="553"/>
      <c r="C124" s="119">
        <v>40</v>
      </c>
      <c r="D124" s="408"/>
      <c r="E124" s="38" t="s">
        <v>283</v>
      </c>
      <c r="F124" s="110" t="s">
        <v>485</v>
      </c>
      <c r="G124" s="113"/>
      <c r="H124" s="120"/>
      <c r="I124" s="113"/>
      <c r="J124" s="146">
        <v>1</v>
      </c>
      <c r="K124" s="113"/>
      <c r="L124" s="152">
        <f t="shared" si="3"/>
        <v>0</v>
      </c>
      <c r="M124" s="113"/>
      <c r="N124" s="113"/>
      <c r="O124" s="113"/>
      <c r="P124" s="113"/>
      <c r="Q124" s="152">
        <f t="shared" si="2"/>
        <v>0</v>
      </c>
      <c r="R124" s="108"/>
      <c r="S124" s="120"/>
      <c r="T124" s="372">
        <v>41639</v>
      </c>
      <c r="U124" s="121"/>
      <c r="V124" s="121"/>
      <c r="W124" s="121"/>
      <c r="X124" s="121"/>
      <c r="Y124" s="121"/>
      <c r="Z124" s="121"/>
    </row>
    <row r="125" spans="1:26" s="11" customFormat="1" ht="48.75">
      <c r="A125" s="550"/>
      <c r="B125" s="553"/>
      <c r="C125" s="119">
        <v>30</v>
      </c>
      <c r="D125" s="408"/>
      <c r="E125" s="38" t="s">
        <v>337</v>
      </c>
      <c r="F125" s="110" t="s">
        <v>484</v>
      </c>
      <c r="G125" s="113"/>
      <c r="H125" s="120"/>
      <c r="I125" s="113"/>
      <c r="J125" s="144">
        <v>1</v>
      </c>
      <c r="K125" s="113"/>
      <c r="L125" s="152">
        <f t="shared" si="3"/>
        <v>0</v>
      </c>
      <c r="M125" s="113"/>
      <c r="N125" s="113"/>
      <c r="O125" s="113"/>
      <c r="P125" s="113"/>
      <c r="Q125" s="152">
        <f t="shared" si="2"/>
        <v>0</v>
      </c>
      <c r="R125" s="108"/>
      <c r="S125" s="120"/>
      <c r="T125" s="372">
        <v>41639</v>
      </c>
      <c r="U125" s="121"/>
      <c r="V125" s="121"/>
      <c r="W125" s="121"/>
      <c r="X125" s="121"/>
      <c r="Y125" s="121"/>
      <c r="Z125" s="121"/>
    </row>
    <row r="126" spans="1:26" s="11" customFormat="1" ht="15">
      <c r="A126" s="550"/>
      <c r="B126" s="553"/>
      <c r="C126" s="119">
        <f>SUM(C123:C125)</f>
        <v>100</v>
      </c>
      <c r="D126" s="407"/>
      <c r="E126" s="31" t="s">
        <v>342</v>
      </c>
      <c r="F126" s="110"/>
      <c r="G126" s="113"/>
      <c r="H126" s="120"/>
      <c r="I126" s="113"/>
      <c r="J126" s="144"/>
      <c r="K126" s="113"/>
      <c r="L126" s="152">
        <f t="shared" si="3"/>
        <v>0</v>
      </c>
      <c r="M126" s="113"/>
      <c r="N126" s="113"/>
      <c r="O126" s="113"/>
      <c r="P126" s="113"/>
      <c r="Q126" s="152">
        <f t="shared" si="2"/>
        <v>0</v>
      </c>
      <c r="R126" s="108"/>
      <c r="S126" s="120"/>
      <c r="T126" s="372">
        <v>41639</v>
      </c>
      <c r="U126" s="121"/>
      <c r="V126" s="121"/>
      <c r="W126" s="121"/>
      <c r="X126" s="121"/>
      <c r="Y126" s="121"/>
      <c r="Z126" s="121"/>
    </row>
    <row r="127" spans="1:26" s="264" customFormat="1" ht="15">
      <c r="A127" s="550"/>
      <c r="B127" s="553"/>
      <c r="C127" s="257"/>
      <c r="D127" s="497" t="s">
        <v>65</v>
      </c>
      <c r="E127" s="498"/>
      <c r="F127" s="258"/>
      <c r="G127" s="259"/>
      <c r="H127" s="260"/>
      <c r="I127" s="259"/>
      <c r="J127" s="261"/>
      <c r="K127" s="259"/>
      <c r="L127" s="262">
        <f t="shared" si="3"/>
        <v>0</v>
      </c>
      <c r="M127" s="259"/>
      <c r="N127" s="259"/>
      <c r="O127" s="259"/>
      <c r="P127" s="259"/>
      <c r="Q127" s="262">
        <f t="shared" si="2"/>
        <v>0</v>
      </c>
      <c r="R127" s="379"/>
      <c r="S127" s="379"/>
      <c r="T127" s="372">
        <v>41639</v>
      </c>
      <c r="U127" s="380"/>
      <c r="V127" s="380"/>
      <c r="W127" s="263"/>
      <c r="X127" s="263"/>
      <c r="Y127" s="263"/>
      <c r="Z127" s="263"/>
    </row>
    <row r="128" spans="1:26" s="173" customFormat="1" ht="105.75" customHeight="1">
      <c r="A128" s="550"/>
      <c r="B128" s="553"/>
      <c r="C128" s="171">
        <v>10</v>
      </c>
      <c r="D128" s="406" t="s">
        <v>145</v>
      </c>
      <c r="E128" s="265" t="s">
        <v>147</v>
      </c>
      <c r="F128" s="258" t="s">
        <v>486</v>
      </c>
      <c r="G128" s="262"/>
      <c r="H128" s="266" t="s">
        <v>673</v>
      </c>
      <c r="I128" s="267" t="s">
        <v>486</v>
      </c>
      <c r="J128" s="268">
        <v>2</v>
      </c>
      <c r="K128" s="262">
        <v>1</v>
      </c>
      <c r="L128" s="262">
        <f t="shared" si="3"/>
        <v>5000000</v>
      </c>
      <c r="M128" s="262"/>
      <c r="N128" s="262">
        <v>5000000</v>
      </c>
      <c r="O128" s="262"/>
      <c r="P128" s="262"/>
      <c r="Q128" s="262">
        <f t="shared" si="2"/>
        <v>5000000</v>
      </c>
      <c r="R128" s="381" t="s">
        <v>761</v>
      </c>
      <c r="S128" s="381"/>
      <c r="T128" s="372">
        <v>41639</v>
      </c>
      <c r="U128" s="172"/>
      <c r="V128" s="172"/>
      <c r="W128" s="172"/>
      <c r="X128" s="172"/>
      <c r="Y128" s="172"/>
      <c r="Z128" s="172"/>
    </row>
    <row r="129" spans="1:26" s="173" customFormat="1" ht="60.75">
      <c r="A129" s="550"/>
      <c r="B129" s="553"/>
      <c r="C129" s="171">
        <v>10</v>
      </c>
      <c r="D129" s="408"/>
      <c r="E129" s="265" t="s">
        <v>148</v>
      </c>
      <c r="F129" s="258" t="s">
        <v>487</v>
      </c>
      <c r="G129" s="262"/>
      <c r="H129" s="269"/>
      <c r="I129" s="262"/>
      <c r="J129" s="270">
        <v>0.25</v>
      </c>
      <c r="K129" s="262"/>
      <c r="L129" s="262">
        <f t="shared" si="3"/>
        <v>0</v>
      </c>
      <c r="M129" s="262"/>
      <c r="N129" s="262"/>
      <c r="O129" s="262"/>
      <c r="P129" s="262"/>
      <c r="Q129" s="262">
        <f t="shared" si="2"/>
        <v>0</v>
      </c>
      <c r="R129" s="381"/>
      <c r="S129" s="381"/>
      <c r="T129" s="372">
        <v>41639</v>
      </c>
      <c r="U129" s="172"/>
      <c r="V129" s="172"/>
      <c r="W129" s="172"/>
      <c r="X129" s="172"/>
      <c r="Y129" s="172"/>
      <c r="Z129" s="172"/>
    </row>
    <row r="130" spans="1:26" s="173" customFormat="1" ht="108">
      <c r="A130" s="550"/>
      <c r="B130" s="553"/>
      <c r="C130" s="171">
        <v>0</v>
      </c>
      <c r="D130" s="408"/>
      <c r="E130" s="265" t="s">
        <v>146</v>
      </c>
      <c r="F130" s="258" t="s">
        <v>488</v>
      </c>
      <c r="G130" s="262"/>
      <c r="H130" s="269" t="s">
        <v>708</v>
      </c>
      <c r="I130" s="267" t="s">
        <v>488</v>
      </c>
      <c r="J130" s="268">
        <v>1</v>
      </c>
      <c r="K130" s="262">
        <v>1</v>
      </c>
      <c r="L130" s="262">
        <f t="shared" si="3"/>
        <v>0</v>
      </c>
      <c r="M130" s="262"/>
      <c r="N130" s="262"/>
      <c r="O130" s="262"/>
      <c r="P130" s="262"/>
      <c r="Q130" s="262">
        <f t="shared" si="2"/>
        <v>0</v>
      </c>
      <c r="R130" s="381" t="s">
        <v>727</v>
      </c>
      <c r="S130" s="381" t="s">
        <v>626</v>
      </c>
      <c r="T130" s="372">
        <v>41639</v>
      </c>
      <c r="U130" s="172"/>
      <c r="V130" s="172"/>
      <c r="W130" s="172"/>
      <c r="X130" s="172"/>
      <c r="Y130" s="172"/>
      <c r="Z130" s="172"/>
    </row>
    <row r="131" spans="1:26" s="173" customFormat="1" ht="38.25" customHeight="1">
      <c r="A131" s="550"/>
      <c r="B131" s="553"/>
      <c r="C131" s="171">
        <v>10</v>
      </c>
      <c r="D131" s="408"/>
      <c r="E131" s="265" t="s">
        <v>284</v>
      </c>
      <c r="F131" s="258" t="s">
        <v>489</v>
      </c>
      <c r="G131" s="262"/>
      <c r="H131" s="269" t="s">
        <v>712</v>
      </c>
      <c r="I131" s="262"/>
      <c r="J131" s="268">
        <v>1</v>
      </c>
      <c r="K131" s="262"/>
      <c r="L131" s="262">
        <f t="shared" si="3"/>
        <v>16000000</v>
      </c>
      <c r="M131" s="262"/>
      <c r="N131" s="262">
        <v>16000000</v>
      </c>
      <c r="O131" s="262"/>
      <c r="P131" s="262"/>
      <c r="Q131" s="262">
        <f t="shared" si="2"/>
        <v>16000000</v>
      </c>
      <c r="R131" s="381" t="s">
        <v>727</v>
      </c>
      <c r="S131" s="381"/>
      <c r="T131" s="372">
        <v>41639</v>
      </c>
      <c r="U131" s="172"/>
      <c r="V131" s="172"/>
      <c r="W131" s="172"/>
      <c r="X131" s="172"/>
      <c r="Y131" s="172"/>
      <c r="Z131" s="172"/>
    </row>
    <row r="132" spans="1:26" s="173" customFormat="1" ht="84.75">
      <c r="A132" s="550"/>
      <c r="B132" s="553"/>
      <c r="C132" s="171">
        <v>0</v>
      </c>
      <c r="D132" s="408"/>
      <c r="E132" s="265" t="s">
        <v>149</v>
      </c>
      <c r="F132" s="258" t="s">
        <v>490</v>
      </c>
      <c r="G132" s="262"/>
      <c r="H132" s="269"/>
      <c r="I132" s="262"/>
      <c r="J132" s="268">
        <v>0</v>
      </c>
      <c r="K132" s="262"/>
      <c r="L132" s="262">
        <f t="shared" si="3"/>
        <v>0</v>
      </c>
      <c r="M132" s="262"/>
      <c r="N132" s="262"/>
      <c r="O132" s="262"/>
      <c r="P132" s="262"/>
      <c r="Q132" s="262">
        <f aca="true" t="shared" si="4" ref="Q132:Q195">SUM(M132:P132)</f>
        <v>0</v>
      </c>
      <c r="R132" s="381"/>
      <c r="S132" s="381"/>
      <c r="T132" s="372">
        <v>41639</v>
      </c>
      <c r="U132" s="172"/>
      <c r="V132" s="172"/>
      <c r="W132" s="172"/>
      <c r="X132" s="172"/>
      <c r="Y132" s="172"/>
      <c r="Z132" s="172"/>
    </row>
    <row r="133" spans="1:26" s="173" customFormat="1" ht="72">
      <c r="A133" s="550"/>
      <c r="B133" s="553"/>
      <c r="C133" s="171">
        <v>10</v>
      </c>
      <c r="D133" s="408"/>
      <c r="E133" s="265" t="s">
        <v>54</v>
      </c>
      <c r="F133" s="258" t="s">
        <v>491</v>
      </c>
      <c r="G133" s="262"/>
      <c r="H133" s="269" t="s">
        <v>661</v>
      </c>
      <c r="I133" s="262"/>
      <c r="J133" s="270">
        <v>0.25</v>
      </c>
      <c r="K133" s="262"/>
      <c r="L133" s="262">
        <f t="shared" si="3"/>
        <v>2000000</v>
      </c>
      <c r="M133" s="262">
        <v>2000000</v>
      </c>
      <c r="N133" s="262"/>
      <c r="O133" s="262"/>
      <c r="P133" s="262"/>
      <c r="Q133" s="262">
        <f t="shared" si="4"/>
        <v>2000000</v>
      </c>
      <c r="R133" s="381" t="s">
        <v>762</v>
      </c>
      <c r="S133" s="381"/>
      <c r="T133" s="372">
        <v>41639</v>
      </c>
      <c r="U133" s="172"/>
      <c r="V133" s="172"/>
      <c r="W133" s="172"/>
      <c r="X133" s="172"/>
      <c r="Y133" s="172"/>
      <c r="Z133" s="172"/>
    </row>
    <row r="134" spans="1:26" s="173" customFormat="1" ht="72">
      <c r="A134" s="550"/>
      <c r="B134" s="553"/>
      <c r="C134" s="171">
        <v>0</v>
      </c>
      <c r="D134" s="408"/>
      <c r="E134" s="265" t="s">
        <v>617</v>
      </c>
      <c r="F134" s="258" t="s">
        <v>492</v>
      </c>
      <c r="G134" s="262"/>
      <c r="H134" s="269" t="s">
        <v>662</v>
      </c>
      <c r="I134" s="262"/>
      <c r="J134" s="268">
        <v>0</v>
      </c>
      <c r="K134" s="262"/>
      <c r="L134" s="262">
        <f aca="true" t="shared" si="5" ref="L134:L197">+M134+N134+O134+P134</f>
        <v>0</v>
      </c>
      <c r="M134" s="262"/>
      <c r="N134" s="262"/>
      <c r="O134" s="262"/>
      <c r="P134" s="262"/>
      <c r="Q134" s="262">
        <f t="shared" si="4"/>
        <v>0</v>
      </c>
      <c r="R134" s="381" t="s">
        <v>734</v>
      </c>
      <c r="S134" s="381" t="s">
        <v>640</v>
      </c>
      <c r="T134" s="372">
        <v>41639</v>
      </c>
      <c r="U134" s="172"/>
      <c r="V134" s="172"/>
      <c r="W134" s="172"/>
      <c r="X134" s="172"/>
      <c r="Y134" s="172"/>
      <c r="Z134" s="172"/>
    </row>
    <row r="135" spans="1:26" s="173" customFormat="1" ht="144">
      <c r="A135" s="550"/>
      <c r="B135" s="553"/>
      <c r="C135" s="171">
        <v>10</v>
      </c>
      <c r="D135" s="408"/>
      <c r="E135" s="271" t="s">
        <v>151</v>
      </c>
      <c r="F135" s="258" t="s">
        <v>493</v>
      </c>
      <c r="G135" s="262"/>
      <c r="H135" s="269" t="s">
        <v>674</v>
      </c>
      <c r="I135" s="262"/>
      <c r="J135" s="270">
        <v>0.25</v>
      </c>
      <c r="K135" s="262"/>
      <c r="L135" s="262">
        <f t="shared" si="5"/>
        <v>6000000</v>
      </c>
      <c r="M135" s="262">
        <v>6000000</v>
      </c>
      <c r="N135" s="262"/>
      <c r="O135" s="262"/>
      <c r="P135" s="262"/>
      <c r="Q135" s="262">
        <f t="shared" si="4"/>
        <v>6000000</v>
      </c>
      <c r="R135" s="381" t="s">
        <v>735</v>
      </c>
      <c r="S135" s="381" t="s">
        <v>641</v>
      </c>
      <c r="T135" s="372">
        <v>41639</v>
      </c>
      <c r="U135" s="172"/>
      <c r="V135" s="172"/>
      <c r="W135" s="172"/>
      <c r="X135" s="172"/>
      <c r="Y135" s="172"/>
      <c r="Z135" s="172"/>
    </row>
    <row r="136" spans="1:26" s="173" customFormat="1" ht="15">
      <c r="A136" s="550"/>
      <c r="B136" s="553"/>
      <c r="C136" s="171"/>
      <c r="D136" s="408"/>
      <c r="E136" s="265"/>
      <c r="F136" s="258"/>
      <c r="G136" s="262"/>
      <c r="H136" s="269"/>
      <c r="I136" s="262"/>
      <c r="J136" s="270"/>
      <c r="K136" s="262"/>
      <c r="L136" s="262">
        <f t="shared" si="5"/>
        <v>0</v>
      </c>
      <c r="M136" s="262"/>
      <c r="N136" s="262"/>
      <c r="O136" s="262"/>
      <c r="P136" s="262"/>
      <c r="Q136" s="262">
        <f t="shared" si="4"/>
        <v>0</v>
      </c>
      <c r="R136" s="381"/>
      <c r="S136" s="381"/>
      <c r="T136" s="372">
        <v>41639</v>
      </c>
      <c r="U136" s="172"/>
      <c r="V136" s="172"/>
      <c r="W136" s="172"/>
      <c r="X136" s="172"/>
      <c r="Y136" s="172"/>
      <c r="Z136" s="172"/>
    </row>
    <row r="137" spans="1:26" s="173" customFormat="1" ht="48">
      <c r="A137" s="550"/>
      <c r="B137" s="553"/>
      <c r="C137" s="171">
        <v>10</v>
      </c>
      <c r="D137" s="408"/>
      <c r="E137" s="271" t="s">
        <v>152</v>
      </c>
      <c r="F137" s="258" t="s">
        <v>494</v>
      </c>
      <c r="G137" s="262"/>
      <c r="H137" s="269"/>
      <c r="I137" s="262"/>
      <c r="J137" s="268">
        <v>5</v>
      </c>
      <c r="K137" s="262"/>
      <c r="L137" s="262">
        <f t="shared" si="5"/>
        <v>0</v>
      </c>
      <c r="M137" s="262"/>
      <c r="N137" s="262"/>
      <c r="O137" s="262"/>
      <c r="P137" s="262"/>
      <c r="Q137" s="262">
        <f t="shared" si="4"/>
        <v>0</v>
      </c>
      <c r="R137" s="381"/>
      <c r="S137" s="381"/>
      <c r="T137" s="372">
        <v>41639</v>
      </c>
      <c r="U137" s="172"/>
      <c r="V137" s="172"/>
      <c r="W137" s="172"/>
      <c r="X137" s="172"/>
      <c r="Y137" s="172"/>
      <c r="Z137" s="172"/>
    </row>
    <row r="138" spans="1:26" s="173" customFormat="1" ht="108">
      <c r="A138" s="550"/>
      <c r="B138" s="553"/>
      <c r="C138" s="171">
        <v>10</v>
      </c>
      <c r="D138" s="408"/>
      <c r="E138" s="265" t="s">
        <v>153</v>
      </c>
      <c r="F138" s="258" t="s">
        <v>495</v>
      </c>
      <c r="G138" s="262"/>
      <c r="H138" s="269" t="s">
        <v>675</v>
      </c>
      <c r="I138" s="262"/>
      <c r="J138" s="270">
        <v>0.2</v>
      </c>
      <c r="K138" s="262"/>
      <c r="L138" s="262">
        <f t="shared" si="5"/>
        <v>0</v>
      </c>
      <c r="M138" s="262"/>
      <c r="N138" s="262"/>
      <c r="O138" s="262"/>
      <c r="P138" s="262"/>
      <c r="Q138" s="262">
        <f t="shared" si="4"/>
        <v>0</v>
      </c>
      <c r="R138" s="381"/>
      <c r="S138" s="381"/>
      <c r="T138" s="372">
        <v>41639</v>
      </c>
      <c r="U138" s="172"/>
      <c r="V138" s="172"/>
      <c r="W138" s="172"/>
      <c r="X138" s="172"/>
      <c r="Y138" s="172"/>
      <c r="Z138" s="172"/>
    </row>
    <row r="139" spans="1:26" s="173" customFormat="1" ht="36">
      <c r="A139" s="550"/>
      <c r="B139" s="553"/>
      <c r="C139" s="171">
        <v>10</v>
      </c>
      <c r="D139" s="408"/>
      <c r="E139" s="271" t="s">
        <v>154</v>
      </c>
      <c r="F139" s="258" t="s">
        <v>496</v>
      </c>
      <c r="G139" s="262"/>
      <c r="H139" s="269"/>
      <c r="I139" s="262"/>
      <c r="J139" s="268">
        <v>1</v>
      </c>
      <c r="K139" s="262"/>
      <c r="L139" s="262">
        <f t="shared" si="5"/>
        <v>27998769</v>
      </c>
      <c r="M139" s="262"/>
      <c r="N139" s="262">
        <f>26498769+1500000</f>
        <v>27998769</v>
      </c>
      <c r="O139" s="262"/>
      <c r="P139" s="262"/>
      <c r="Q139" s="262">
        <f t="shared" si="4"/>
        <v>27998769</v>
      </c>
      <c r="R139" s="381" t="s">
        <v>735</v>
      </c>
      <c r="S139" s="381"/>
      <c r="T139" s="372">
        <v>41639</v>
      </c>
      <c r="U139" s="172"/>
      <c r="V139" s="172"/>
      <c r="W139" s="172"/>
      <c r="X139" s="172"/>
      <c r="Y139" s="172"/>
      <c r="Z139" s="172"/>
    </row>
    <row r="140" spans="1:26" s="173" customFormat="1" ht="72.75">
      <c r="A140" s="550"/>
      <c r="B140" s="553"/>
      <c r="C140" s="171">
        <v>10</v>
      </c>
      <c r="D140" s="408"/>
      <c r="E140" s="265" t="s">
        <v>285</v>
      </c>
      <c r="F140" s="258" t="s">
        <v>497</v>
      </c>
      <c r="G140" s="262"/>
      <c r="H140" s="269"/>
      <c r="I140" s="262"/>
      <c r="J140" s="268">
        <v>1</v>
      </c>
      <c r="K140" s="262"/>
      <c r="L140" s="262">
        <f t="shared" si="5"/>
        <v>0</v>
      </c>
      <c r="M140" s="262"/>
      <c r="N140" s="262"/>
      <c r="O140" s="262"/>
      <c r="P140" s="262"/>
      <c r="Q140" s="262">
        <f t="shared" si="4"/>
        <v>0</v>
      </c>
      <c r="R140" s="381"/>
      <c r="S140" s="381"/>
      <c r="T140" s="372">
        <v>41639</v>
      </c>
      <c r="U140" s="172"/>
      <c r="V140" s="172"/>
      <c r="W140" s="172"/>
      <c r="X140" s="172"/>
      <c r="Y140" s="172"/>
      <c r="Z140" s="172"/>
    </row>
    <row r="141" spans="1:26" s="173" customFormat="1" ht="48">
      <c r="A141" s="550"/>
      <c r="B141" s="553"/>
      <c r="C141" s="171">
        <v>10</v>
      </c>
      <c r="D141" s="408"/>
      <c r="E141" s="271" t="s">
        <v>155</v>
      </c>
      <c r="F141" s="258" t="s">
        <v>498</v>
      </c>
      <c r="G141" s="262"/>
      <c r="H141" s="269"/>
      <c r="I141" s="262"/>
      <c r="J141" s="270">
        <v>0.25</v>
      </c>
      <c r="K141" s="262"/>
      <c r="L141" s="262">
        <f t="shared" si="5"/>
        <v>0</v>
      </c>
      <c r="M141" s="262"/>
      <c r="N141" s="262">
        <v>0</v>
      </c>
      <c r="O141" s="262"/>
      <c r="P141" s="262"/>
      <c r="Q141" s="262">
        <f t="shared" si="4"/>
        <v>0</v>
      </c>
      <c r="R141" s="381"/>
      <c r="S141" s="381"/>
      <c r="T141" s="372">
        <v>41639</v>
      </c>
      <c r="U141" s="172"/>
      <c r="V141" s="172"/>
      <c r="W141" s="172"/>
      <c r="X141" s="172"/>
      <c r="Y141" s="172"/>
      <c r="Z141" s="172"/>
    </row>
    <row r="142" spans="1:26" s="173" customFormat="1" ht="36.75">
      <c r="A142" s="550"/>
      <c r="B142" s="553"/>
      <c r="C142" s="171">
        <v>0</v>
      </c>
      <c r="D142" s="408"/>
      <c r="E142" s="265" t="s">
        <v>156</v>
      </c>
      <c r="F142" s="258" t="s">
        <v>499</v>
      </c>
      <c r="G142" s="262"/>
      <c r="H142" s="269"/>
      <c r="I142" s="262"/>
      <c r="J142" s="268">
        <v>0</v>
      </c>
      <c r="K142" s="262"/>
      <c r="L142" s="262">
        <f t="shared" si="5"/>
        <v>0</v>
      </c>
      <c r="M142" s="262"/>
      <c r="N142" s="262"/>
      <c r="O142" s="262"/>
      <c r="P142" s="262"/>
      <c r="Q142" s="262">
        <f t="shared" si="4"/>
        <v>0</v>
      </c>
      <c r="R142" s="381"/>
      <c r="S142" s="381"/>
      <c r="T142" s="372">
        <v>41639</v>
      </c>
      <c r="U142" s="172"/>
      <c r="V142" s="172"/>
      <c r="W142" s="172"/>
      <c r="X142" s="172"/>
      <c r="Y142" s="172"/>
      <c r="Z142" s="172"/>
    </row>
    <row r="143" spans="1:26" ht="15">
      <c r="A143" s="550"/>
      <c r="B143" s="553"/>
      <c r="C143" s="116">
        <f>SUM(C128:C142)</f>
        <v>100</v>
      </c>
      <c r="D143" s="407"/>
      <c r="E143" s="31" t="s">
        <v>342</v>
      </c>
      <c r="F143" s="110"/>
      <c r="G143" s="122"/>
      <c r="H143" s="123"/>
      <c r="I143" s="122"/>
      <c r="J143" s="142"/>
      <c r="K143" s="122"/>
      <c r="L143" s="152">
        <f t="shared" si="5"/>
        <v>0</v>
      </c>
      <c r="M143" s="122"/>
      <c r="N143" s="122"/>
      <c r="O143" s="122"/>
      <c r="P143" s="122"/>
      <c r="Q143" s="152">
        <f t="shared" si="4"/>
        <v>0</v>
      </c>
      <c r="R143" s="108"/>
      <c r="S143" s="123"/>
      <c r="T143" s="372">
        <v>41639</v>
      </c>
      <c r="U143" s="117"/>
      <c r="V143" s="117"/>
      <c r="W143" s="117"/>
      <c r="X143" s="117"/>
      <c r="Y143" s="117"/>
      <c r="Z143" s="117"/>
    </row>
    <row r="144" spans="1:26" s="278" customFormat="1" ht="15">
      <c r="A144" s="550"/>
      <c r="B144" s="553"/>
      <c r="C144" s="272"/>
      <c r="D144" s="594" t="s">
        <v>66</v>
      </c>
      <c r="E144" s="595"/>
      <c r="F144" s="273"/>
      <c r="G144" s="274"/>
      <c r="H144" s="275"/>
      <c r="I144" s="274"/>
      <c r="J144" s="276"/>
      <c r="K144" s="274"/>
      <c r="L144" s="274">
        <f t="shared" si="5"/>
        <v>0</v>
      </c>
      <c r="M144" s="274"/>
      <c r="N144" s="274"/>
      <c r="O144" s="274"/>
      <c r="P144" s="274"/>
      <c r="Q144" s="274">
        <f t="shared" si="4"/>
        <v>0</v>
      </c>
      <c r="R144" s="177"/>
      <c r="S144" s="177"/>
      <c r="T144" s="372">
        <v>41639</v>
      </c>
      <c r="U144" s="179"/>
      <c r="V144" s="179"/>
      <c r="W144" s="277"/>
      <c r="X144" s="277"/>
      <c r="Y144" s="277"/>
      <c r="Z144" s="277"/>
    </row>
    <row r="145" spans="1:26" s="180" customFormat="1" ht="72">
      <c r="A145" s="550"/>
      <c r="B145" s="553"/>
      <c r="C145" s="174">
        <v>5</v>
      </c>
      <c r="D145" s="406" t="s">
        <v>157</v>
      </c>
      <c r="E145" s="170" t="s">
        <v>158</v>
      </c>
      <c r="F145" s="175" t="s">
        <v>500</v>
      </c>
      <c r="G145" s="176"/>
      <c r="H145" s="177" t="s">
        <v>677</v>
      </c>
      <c r="I145" s="176"/>
      <c r="J145" s="178">
        <v>2</v>
      </c>
      <c r="K145" s="176"/>
      <c r="L145" s="152">
        <f t="shared" si="5"/>
        <v>0</v>
      </c>
      <c r="M145" s="176"/>
      <c r="N145" s="176"/>
      <c r="O145" s="176"/>
      <c r="P145" s="176"/>
      <c r="Q145" s="152">
        <f t="shared" si="4"/>
        <v>0</v>
      </c>
      <c r="R145" s="177"/>
      <c r="S145" s="177"/>
      <c r="T145" s="372">
        <v>41639</v>
      </c>
      <c r="U145" s="179"/>
      <c r="V145" s="179"/>
      <c r="W145" s="179"/>
      <c r="X145" s="179"/>
      <c r="Y145" s="179"/>
      <c r="Z145" s="179"/>
    </row>
    <row r="146" spans="1:26" s="180" customFormat="1" ht="108">
      <c r="A146" s="550"/>
      <c r="B146" s="553"/>
      <c r="C146" s="174">
        <v>0</v>
      </c>
      <c r="D146" s="408"/>
      <c r="E146" s="170" t="s">
        <v>159</v>
      </c>
      <c r="F146" s="175" t="s">
        <v>468</v>
      </c>
      <c r="G146" s="176"/>
      <c r="H146" s="177" t="s">
        <v>678</v>
      </c>
      <c r="I146" s="176"/>
      <c r="J146" s="178">
        <v>0</v>
      </c>
      <c r="K146" s="176"/>
      <c r="L146" s="152">
        <f t="shared" si="5"/>
        <v>13200000</v>
      </c>
      <c r="M146" s="176"/>
      <c r="N146" s="176">
        <v>13200000</v>
      </c>
      <c r="O146" s="176"/>
      <c r="P146" s="176"/>
      <c r="Q146" s="152">
        <f t="shared" si="4"/>
        <v>13200000</v>
      </c>
      <c r="R146" s="381" t="s">
        <v>735</v>
      </c>
      <c r="S146" s="177"/>
      <c r="T146" s="372">
        <v>41639</v>
      </c>
      <c r="U146" s="179"/>
      <c r="V146" s="179"/>
      <c r="W146" s="179"/>
      <c r="X146" s="179"/>
      <c r="Y146" s="179"/>
      <c r="Z146" s="179"/>
    </row>
    <row r="147" spans="1:26" s="180" customFormat="1" ht="132">
      <c r="A147" s="550"/>
      <c r="B147" s="553"/>
      <c r="C147" s="174">
        <v>20</v>
      </c>
      <c r="D147" s="408"/>
      <c r="E147" s="170" t="s">
        <v>160</v>
      </c>
      <c r="F147" s="175" t="s">
        <v>501</v>
      </c>
      <c r="G147" s="176"/>
      <c r="H147" s="177" t="s">
        <v>679</v>
      </c>
      <c r="I147" s="176"/>
      <c r="J147" s="178">
        <v>15</v>
      </c>
      <c r="K147" s="176">
        <v>0</v>
      </c>
      <c r="L147" s="152">
        <f t="shared" si="5"/>
        <v>500000</v>
      </c>
      <c r="M147" s="176"/>
      <c r="N147" s="176">
        <v>500000</v>
      </c>
      <c r="O147" s="176"/>
      <c r="P147" s="176"/>
      <c r="Q147" s="152">
        <f t="shared" si="4"/>
        <v>500000</v>
      </c>
      <c r="R147" s="381" t="s">
        <v>735</v>
      </c>
      <c r="S147" s="177"/>
      <c r="T147" s="372">
        <v>41639</v>
      </c>
      <c r="U147" s="179"/>
      <c r="V147" s="179"/>
      <c r="W147" s="179"/>
      <c r="X147" s="179"/>
      <c r="Y147" s="179"/>
      <c r="Z147" s="179"/>
    </row>
    <row r="148" spans="1:26" s="180" customFormat="1" ht="144">
      <c r="A148" s="550"/>
      <c r="B148" s="553"/>
      <c r="C148" s="174">
        <v>10</v>
      </c>
      <c r="D148" s="408"/>
      <c r="E148" s="170" t="s">
        <v>161</v>
      </c>
      <c r="F148" s="175" t="s">
        <v>502</v>
      </c>
      <c r="G148" s="176"/>
      <c r="H148" s="177" t="s">
        <v>656</v>
      </c>
      <c r="I148" s="176"/>
      <c r="J148" s="178">
        <v>1</v>
      </c>
      <c r="K148" s="176"/>
      <c r="L148" s="152">
        <f t="shared" si="5"/>
        <v>6000000</v>
      </c>
      <c r="M148" s="176"/>
      <c r="N148" s="176">
        <v>6000000</v>
      </c>
      <c r="O148" s="176"/>
      <c r="P148" s="176"/>
      <c r="Q148" s="152">
        <f t="shared" si="4"/>
        <v>6000000</v>
      </c>
      <c r="R148" s="381" t="s">
        <v>735</v>
      </c>
      <c r="S148" s="177"/>
      <c r="T148" s="372">
        <v>41639</v>
      </c>
      <c r="U148" s="179"/>
      <c r="V148" s="179"/>
      <c r="W148" s="179"/>
      <c r="X148" s="179"/>
      <c r="Y148" s="179"/>
      <c r="Z148" s="179"/>
    </row>
    <row r="149" spans="1:26" s="180" customFormat="1" ht="108">
      <c r="A149" s="550"/>
      <c r="B149" s="553"/>
      <c r="C149" s="506">
        <v>20</v>
      </c>
      <c r="D149" s="408"/>
      <c r="E149" s="508" t="s">
        <v>363</v>
      </c>
      <c r="F149" s="575" t="s">
        <v>430</v>
      </c>
      <c r="G149" s="176"/>
      <c r="H149" s="181" t="s">
        <v>703</v>
      </c>
      <c r="I149" s="577" t="s">
        <v>430</v>
      </c>
      <c r="J149" s="579">
        <v>4</v>
      </c>
      <c r="K149" s="176">
        <v>1</v>
      </c>
      <c r="L149" s="152">
        <f t="shared" si="5"/>
        <v>0</v>
      </c>
      <c r="M149" s="176"/>
      <c r="N149" s="176"/>
      <c r="O149" s="176"/>
      <c r="P149" s="176"/>
      <c r="Q149" s="152">
        <f t="shared" si="4"/>
        <v>0</v>
      </c>
      <c r="R149" s="177" t="s">
        <v>736</v>
      </c>
      <c r="S149" s="177" t="s">
        <v>618</v>
      </c>
      <c r="T149" s="372">
        <v>41639</v>
      </c>
      <c r="U149" s="179"/>
      <c r="V149" s="179"/>
      <c r="W149" s="179"/>
      <c r="X149" s="179"/>
      <c r="Y149" s="179"/>
      <c r="Z149" s="179"/>
    </row>
    <row r="150" spans="1:26" s="180" customFormat="1" ht="105.75" customHeight="1">
      <c r="A150" s="550"/>
      <c r="B150" s="553"/>
      <c r="C150" s="507"/>
      <c r="D150" s="408"/>
      <c r="E150" s="509"/>
      <c r="F150" s="576"/>
      <c r="G150" s="176"/>
      <c r="H150" s="181" t="s">
        <v>680</v>
      </c>
      <c r="I150" s="578"/>
      <c r="J150" s="580"/>
      <c r="K150" s="176">
        <v>1</v>
      </c>
      <c r="L150" s="152">
        <f t="shared" si="5"/>
        <v>3000000</v>
      </c>
      <c r="M150" s="176"/>
      <c r="N150" s="176">
        <v>3000000</v>
      </c>
      <c r="O150" s="176"/>
      <c r="P150" s="176"/>
      <c r="Q150" s="152">
        <f t="shared" si="4"/>
        <v>3000000</v>
      </c>
      <c r="R150" s="177" t="s">
        <v>737</v>
      </c>
      <c r="S150" s="177" t="s">
        <v>618</v>
      </c>
      <c r="T150" s="372">
        <v>41639</v>
      </c>
      <c r="U150" s="179"/>
      <c r="V150" s="179"/>
      <c r="W150" s="179"/>
      <c r="X150" s="179"/>
      <c r="Y150" s="179"/>
      <c r="Z150" s="179"/>
    </row>
    <row r="151" spans="1:26" s="180" customFormat="1" ht="36">
      <c r="A151" s="550"/>
      <c r="B151" s="553"/>
      <c r="C151" s="174">
        <v>10</v>
      </c>
      <c r="D151" s="408"/>
      <c r="E151" s="170" t="s">
        <v>162</v>
      </c>
      <c r="F151" s="175" t="s">
        <v>503</v>
      </c>
      <c r="G151" s="176"/>
      <c r="H151" s="177" t="s">
        <v>655</v>
      </c>
      <c r="I151" s="176"/>
      <c r="J151" s="178">
        <v>7</v>
      </c>
      <c r="K151" s="176">
        <v>0</v>
      </c>
      <c r="L151" s="152">
        <f t="shared" si="5"/>
        <v>0</v>
      </c>
      <c r="M151" s="176"/>
      <c r="N151" s="176"/>
      <c r="O151" s="176"/>
      <c r="P151" s="176"/>
      <c r="Q151" s="152">
        <f t="shared" si="4"/>
        <v>0</v>
      </c>
      <c r="R151" s="177"/>
      <c r="S151" s="177"/>
      <c r="T151" s="372">
        <v>41639</v>
      </c>
      <c r="U151" s="179"/>
      <c r="V151" s="179"/>
      <c r="W151" s="179"/>
      <c r="X151" s="179"/>
      <c r="Y151" s="179"/>
      <c r="Z151" s="179"/>
    </row>
    <row r="152" spans="1:26" s="180" customFormat="1" ht="36">
      <c r="A152" s="550"/>
      <c r="B152" s="553"/>
      <c r="C152" s="174">
        <v>15</v>
      </c>
      <c r="D152" s="408"/>
      <c r="E152" s="170" t="s">
        <v>163</v>
      </c>
      <c r="F152" s="175" t="s">
        <v>504</v>
      </c>
      <c r="G152" s="176"/>
      <c r="H152" s="177"/>
      <c r="I152" s="176"/>
      <c r="J152" s="178">
        <v>7</v>
      </c>
      <c r="K152" s="176"/>
      <c r="L152" s="152">
        <f t="shared" si="5"/>
        <v>4236618</v>
      </c>
      <c r="M152" s="176"/>
      <c r="N152" s="176">
        <v>4236618</v>
      </c>
      <c r="O152" s="176"/>
      <c r="P152" s="176"/>
      <c r="Q152" s="152">
        <f t="shared" si="4"/>
        <v>4236618</v>
      </c>
      <c r="R152" s="381" t="s">
        <v>735</v>
      </c>
      <c r="S152" s="177"/>
      <c r="T152" s="372">
        <v>41639</v>
      </c>
      <c r="U152" s="179"/>
      <c r="V152" s="179"/>
      <c r="W152" s="179"/>
      <c r="X152" s="179"/>
      <c r="Y152" s="179"/>
      <c r="Z152" s="179"/>
    </row>
    <row r="153" spans="1:26" s="180" customFormat="1" ht="48" customHeight="1">
      <c r="A153" s="550"/>
      <c r="B153" s="553"/>
      <c r="C153" s="174">
        <v>10</v>
      </c>
      <c r="D153" s="408"/>
      <c r="E153" s="170" t="s">
        <v>286</v>
      </c>
      <c r="F153" s="175" t="s">
        <v>505</v>
      </c>
      <c r="G153" s="176"/>
      <c r="H153" s="604" t="s">
        <v>654</v>
      </c>
      <c r="I153" s="176"/>
      <c r="J153" s="178">
        <v>1</v>
      </c>
      <c r="K153" s="176"/>
      <c r="L153" s="152">
        <f t="shared" si="5"/>
        <v>7895073</v>
      </c>
      <c r="M153" s="176"/>
      <c r="N153" s="176">
        <v>7895073</v>
      </c>
      <c r="O153" s="176"/>
      <c r="P153" s="176"/>
      <c r="Q153" s="152">
        <f t="shared" si="4"/>
        <v>7895073</v>
      </c>
      <c r="R153" s="381" t="s">
        <v>735</v>
      </c>
      <c r="S153" s="177"/>
      <c r="T153" s="372">
        <v>41639</v>
      </c>
      <c r="U153" s="179"/>
      <c r="V153" s="179"/>
      <c r="W153" s="179"/>
      <c r="X153" s="179"/>
      <c r="Y153" s="179"/>
      <c r="Z153" s="179"/>
    </row>
    <row r="154" spans="1:26" s="180" customFormat="1" ht="48">
      <c r="A154" s="550"/>
      <c r="B154" s="553"/>
      <c r="C154" s="174">
        <v>10</v>
      </c>
      <c r="D154" s="408"/>
      <c r="E154" s="170" t="s">
        <v>164</v>
      </c>
      <c r="F154" s="175" t="s">
        <v>506</v>
      </c>
      <c r="G154" s="176"/>
      <c r="H154" s="605"/>
      <c r="I154" s="176"/>
      <c r="J154" s="178">
        <v>40</v>
      </c>
      <c r="K154" s="176"/>
      <c r="L154" s="152">
        <f t="shared" si="5"/>
        <v>2500000</v>
      </c>
      <c r="M154" s="176"/>
      <c r="N154" s="176">
        <v>2500000</v>
      </c>
      <c r="O154" s="176"/>
      <c r="P154" s="176"/>
      <c r="Q154" s="152">
        <f t="shared" si="4"/>
        <v>2500000</v>
      </c>
      <c r="R154" s="381" t="s">
        <v>735</v>
      </c>
      <c r="S154" s="177"/>
      <c r="T154" s="372">
        <v>41639</v>
      </c>
      <c r="U154" s="179"/>
      <c r="V154" s="179"/>
      <c r="W154" s="179"/>
      <c r="X154" s="179"/>
      <c r="Y154" s="179"/>
      <c r="Z154" s="179"/>
    </row>
    <row r="155" spans="1:26" s="11" customFormat="1" ht="15">
      <c r="A155" s="551"/>
      <c r="B155" s="554"/>
      <c r="C155" s="119">
        <f>SUM(C145:C154)</f>
        <v>100</v>
      </c>
      <c r="D155" s="407"/>
      <c r="E155" s="31" t="s">
        <v>342</v>
      </c>
      <c r="F155" s="110"/>
      <c r="G155" s="113"/>
      <c r="H155" s="120"/>
      <c r="I155" s="113"/>
      <c r="J155" s="144"/>
      <c r="K155" s="113"/>
      <c r="L155" s="152">
        <f t="shared" si="5"/>
        <v>0</v>
      </c>
      <c r="M155" s="113"/>
      <c r="N155" s="113"/>
      <c r="O155" s="113"/>
      <c r="P155" s="113"/>
      <c r="Q155" s="152">
        <f t="shared" si="4"/>
        <v>0</v>
      </c>
      <c r="R155" s="108"/>
      <c r="S155" s="120"/>
      <c r="T155" s="378"/>
      <c r="U155" s="121"/>
      <c r="V155" s="121"/>
      <c r="W155" s="121"/>
      <c r="X155" s="121"/>
      <c r="Y155" s="121"/>
      <c r="Z155" s="121"/>
    </row>
    <row r="156" spans="1:26" s="154" customFormat="1" ht="15">
      <c r="A156" s="466">
        <v>10</v>
      </c>
      <c r="B156" s="472" t="s">
        <v>610</v>
      </c>
      <c r="C156" s="155"/>
      <c r="D156" s="596" t="s">
        <v>59</v>
      </c>
      <c r="E156" s="597"/>
      <c r="F156" s="290"/>
      <c r="G156" s="291"/>
      <c r="H156" s="292"/>
      <c r="I156" s="291"/>
      <c r="J156" s="293"/>
      <c r="K156" s="291"/>
      <c r="L156" s="291">
        <f t="shared" si="5"/>
        <v>0</v>
      </c>
      <c r="M156" s="291"/>
      <c r="N156" s="291"/>
      <c r="O156" s="291"/>
      <c r="P156" s="291"/>
      <c r="Q156" s="291">
        <f t="shared" si="4"/>
        <v>0</v>
      </c>
      <c r="R156" s="371"/>
      <c r="S156" s="371"/>
      <c r="T156" s="372"/>
      <c r="U156" s="153"/>
      <c r="V156" s="153"/>
      <c r="W156" s="153"/>
      <c r="X156" s="153"/>
      <c r="Y156" s="153"/>
      <c r="Z156" s="153"/>
    </row>
    <row r="157" spans="1:26" s="154" customFormat="1" ht="36" customHeight="1">
      <c r="A157" s="467"/>
      <c r="B157" s="473"/>
      <c r="C157" s="155">
        <v>10</v>
      </c>
      <c r="D157" s="482" t="s">
        <v>166</v>
      </c>
      <c r="E157" s="294" t="s">
        <v>287</v>
      </c>
      <c r="F157" s="290" t="s">
        <v>507</v>
      </c>
      <c r="G157" s="291"/>
      <c r="H157" s="292"/>
      <c r="I157" s="291"/>
      <c r="J157" s="293">
        <v>4</v>
      </c>
      <c r="K157" s="291"/>
      <c r="L157" s="291">
        <f t="shared" si="5"/>
        <v>10000000</v>
      </c>
      <c r="M157" s="291"/>
      <c r="N157" s="291">
        <v>10000000</v>
      </c>
      <c r="O157" s="291"/>
      <c r="P157" s="291"/>
      <c r="Q157" s="291">
        <f t="shared" si="4"/>
        <v>10000000</v>
      </c>
      <c r="R157" s="371" t="s">
        <v>763</v>
      </c>
      <c r="S157" s="120" t="s">
        <v>773</v>
      </c>
      <c r="T157" s="372">
        <v>41639</v>
      </c>
      <c r="U157" s="153"/>
      <c r="V157" s="153"/>
      <c r="W157" s="153"/>
      <c r="X157" s="153"/>
      <c r="Y157" s="153"/>
      <c r="Z157" s="153"/>
    </row>
    <row r="158" spans="1:26" s="154" customFormat="1" ht="84">
      <c r="A158" s="467"/>
      <c r="B158" s="473"/>
      <c r="C158" s="155">
        <v>10</v>
      </c>
      <c r="D158" s="483"/>
      <c r="E158" s="294" t="s">
        <v>167</v>
      </c>
      <c r="F158" s="290" t="s">
        <v>508</v>
      </c>
      <c r="G158" s="291"/>
      <c r="H158" s="292"/>
      <c r="I158" s="291"/>
      <c r="J158" s="293">
        <v>25</v>
      </c>
      <c r="K158" s="291"/>
      <c r="L158" s="291">
        <f t="shared" si="5"/>
        <v>10000000</v>
      </c>
      <c r="M158" s="291"/>
      <c r="N158" s="291">
        <v>10000000</v>
      </c>
      <c r="O158" s="291"/>
      <c r="P158" s="291"/>
      <c r="Q158" s="291">
        <f t="shared" si="4"/>
        <v>10000000</v>
      </c>
      <c r="R158" s="371" t="s">
        <v>763</v>
      </c>
      <c r="S158" s="120" t="s">
        <v>773</v>
      </c>
      <c r="T158" s="372">
        <v>41639</v>
      </c>
      <c r="U158" s="153"/>
      <c r="V158" s="153"/>
      <c r="W158" s="153"/>
      <c r="X158" s="153"/>
      <c r="Y158" s="153"/>
      <c r="Z158" s="153"/>
    </row>
    <row r="159" spans="1:26" s="154" customFormat="1" ht="48">
      <c r="A159" s="467"/>
      <c r="B159" s="473"/>
      <c r="C159" s="155">
        <v>30</v>
      </c>
      <c r="D159" s="483"/>
      <c r="E159" s="294" t="s">
        <v>168</v>
      </c>
      <c r="F159" s="290" t="s">
        <v>509</v>
      </c>
      <c r="G159" s="295"/>
      <c r="H159" s="295"/>
      <c r="I159" s="295"/>
      <c r="J159" s="293">
        <v>15</v>
      </c>
      <c r="K159" s="291"/>
      <c r="L159" s="291">
        <f t="shared" si="5"/>
        <v>3000000</v>
      </c>
      <c r="M159" s="291"/>
      <c r="N159" s="291">
        <v>3000000</v>
      </c>
      <c r="O159" s="291"/>
      <c r="P159" s="291"/>
      <c r="Q159" s="291">
        <f t="shared" si="4"/>
        <v>3000000</v>
      </c>
      <c r="R159" s="371" t="s">
        <v>763</v>
      </c>
      <c r="S159" s="120" t="s">
        <v>773</v>
      </c>
      <c r="T159" s="372">
        <v>41639</v>
      </c>
      <c r="U159" s="153"/>
      <c r="V159" s="153"/>
      <c r="W159" s="153"/>
      <c r="X159" s="153"/>
      <c r="Y159" s="153"/>
      <c r="Z159" s="153"/>
    </row>
    <row r="160" spans="1:26" s="154" customFormat="1" ht="72">
      <c r="A160" s="467"/>
      <c r="B160" s="473"/>
      <c r="C160" s="155">
        <v>20</v>
      </c>
      <c r="D160" s="483"/>
      <c r="E160" s="294" t="s">
        <v>169</v>
      </c>
      <c r="F160" s="290" t="s">
        <v>510</v>
      </c>
      <c r="G160" s="291"/>
      <c r="H160" s="292" t="s">
        <v>681</v>
      </c>
      <c r="I160" s="296" t="s">
        <v>509</v>
      </c>
      <c r="J160" s="293">
        <v>5</v>
      </c>
      <c r="K160" s="291"/>
      <c r="L160" s="291">
        <f t="shared" si="5"/>
        <v>21000000</v>
      </c>
      <c r="M160" s="291"/>
      <c r="N160" s="291">
        <v>21000000</v>
      </c>
      <c r="O160" s="291"/>
      <c r="P160" s="291"/>
      <c r="Q160" s="291">
        <f t="shared" si="4"/>
        <v>21000000</v>
      </c>
      <c r="R160" s="371" t="s">
        <v>763</v>
      </c>
      <c r="S160" s="120" t="s">
        <v>773</v>
      </c>
      <c r="T160" s="372">
        <v>41639</v>
      </c>
      <c r="U160" s="153"/>
      <c r="V160" s="153"/>
      <c r="W160" s="153"/>
      <c r="X160" s="153"/>
      <c r="Y160" s="153"/>
      <c r="Z160" s="153"/>
    </row>
    <row r="161" spans="1:26" s="154" customFormat="1" ht="60">
      <c r="A161" s="467"/>
      <c r="B161" s="473"/>
      <c r="C161" s="155">
        <v>30</v>
      </c>
      <c r="D161" s="483"/>
      <c r="E161" s="294" t="s">
        <v>170</v>
      </c>
      <c r="F161" s="290" t="s">
        <v>511</v>
      </c>
      <c r="G161" s="291"/>
      <c r="H161" s="292"/>
      <c r="I161" s="291"/>
      <c r="J161" s="293">
        <v>24</v>
      </c>
      <c r="K161" s="291"/>
      <c r="L161" s="291">
        <f t="shared" si="5"/>
        <v>19984904</v>
      </c>
      <c r="M161" s="291"/>
      <c r="N161" s="291">
        <v>19984904</v>
      </c>
      <c r="O161" s="291"/>
      <c r="P161" s="291"/>
      <c r="Q161" s="291">
        <f t="shared" si="4"/>
        <v>19984904</v>
      </c>
      <c r="R161" s="371" t="s">
        <v>763</v>
      </c>
      <c r="S161" s="120" t="s">
        <v>773</v>
      </c>
      <c r="T161" s="372">
        <v>41639</v>
      </c>
      <c r="U161" s="153"/>
      <c r="V161" s="153"/>
      <c r="W161" s="153"/>
      <c r="X161" s="153"/>
      <c r="Y161" s="153"/>
      <c r="Z161" s="153"/>
    </row>
    <row r="162" spans="1:26" s="154" customFormat="1" ht="36" customHeight="1">
      <c r="A162" s="467"/>
      <c r="B162" s="473"/>
      <c r="C162" s="155">
        <v>0</v>
      </c>
      <c r="D162" s="483"/>
      <c r="E162" s="294" t="s">
        <v>171</v>
      </c>
      <c r="F162" s="290" t="s">
        <v>512</v>
      </c>
      <c r="G162" s="291"/>
      <c r="H162" s="292"/>
      <c r="I162" s="291"/>
      <c r="J162" s="293">
        <v>0</v>
      </c>
      <c r="K162" s="291"/>
      <c r="L162" s="291">
        <f t="shared" si="5"/>
        <v>0</v>
      </c>
      <c r="M162" s="291"/>
      <c r="N162" s="291"/>
      <c r="O162" s="291"/>
      <c r="P162" s="291"/>
      <c r="Q162" s="291">
        <f t="shared" si="4"/>
        <v>0</v>
      </c>
      <c r="R162" s="371"/>
      <c r="S162" s="371"/>
      <c r="T162" s="372">
        <v>41639</v>
      </c>
      <c r="U162" s="153"/>
      <c r="V162" s="153"/>
      <c r="W162" s="153"/>
      <c r="X162" s="153"/>
      <c r="Y162" s="153"/>
      <c r="Z162" s="153"/>
    </row>
    <row r="163" spans="1:26" s="154" customFormat="1" ht="72">
      <c r="A163" s="467"/>
      <c r="B163" s="473"/>
      <c r="C163" s="155">
        <v>0</v>
      </c>
      <c r="D163" s="483"/>
      <c r="E163" s="294" t="s">
        <v>172</v>
      </c>
      <c r="F163" s="290" t="s">
        <v>513</v>
      </c>
      <c r="G163" s="291"/>
      <c r="H163" s="292"/>
      <c r="I163" s="291"/>
      <c r="J163" s="293">
        <v>0</v>
      </c>
      <c r="K163" s="291"/>
      <c r="L163" s="291">
        <f t="shared" si="5"/>
        <v>100000</v>
      </c>
      <c r="M163" s="291"/>
      <c r="N163" s="291">
        <v>100000</v>
      </c>
      <c r="O163" s="291"/>
      <c r="P163" s="291"/>
      <c r="Q163" s="291">
        <f t="shared" si="4"/>
        <v>100000</v>
      </c>
      <c r="R163" s="371" t="s">
        <v>763</v>
      </c>
      <c r="S163" s="120" t="s">
        <v>773</v>
      </c>
      <c r="T163" s="372">
        <v>41639</v>
      </c>
      <c r="U163" s="153"/>
      <c r="V163" s="153"/>
      <c r="W163" s="153"/>
      <c r="X163" s="153"/>
      <c r="Y163" s="153"/>
      <c r="Z163" s="153"/>
    </row>
    <row r="164" spans="1:26" s="154" customFormat="1" ht="36">
      <c r="A164" s="467"/>
      <c r="B164" s="473"/>
      <c r="C164" s="155">
        <v>0</v>
      </c>
      <c r="D164" s="483"/>
      <c r="E164" s="294" t="s">
        <v>67</v>
      </c>
      <c r="F164" s="290" t="s">
        <v>514</v>
      </c>
      <c r="G164" s="291"/>
      <c r="H164" s="292"/>
      <c r="I164" s="291"/>
      <c r="J164" s="293">
        <v>0</v>
      </c>
      <c r="K164" s="291"/>
      <c r="L164" s="291">
        <f t="shared" si="5"/>
        <v>0</v>
      </c>
      <c r="M164" s="291"/>
      <c r="N164" s="291"/>
      <c r="O164" s="291"/>
      <c r="P164" s="291"/>
      <c r="Q164" s="291">
        <f t="shared" si="4"/>
        <v>0</v>
      </c>
      <c r="R164" s="371"/>
      <c r="S164" s="371"/>
      <c r="T164" s="372">
        <v>41639</v>
      </c>
      <c r="U164" s="153"/>
      <c r="V164" s="153"/>
      <c r="W164" s="153"/>
      <c r="X164" s="153"/>
      <c r="Y164" s="153"/>
      <c r="Z164" s="153"/>
    </row>
    <row r="165" spans="1:26" s="154" customFormat="1" ht="36">
      <c r="A165" s="467"/>
      <c r="B165" s="473"/>
      <c r="C165" s="155">
        <v>0</v>
      </c>
      <c r="D165" s="483"/>
      <c r="E165" s="294" t="s">
        <v>173</v>
      </c>
      <c r="F165" s="290" t="s">
        <v>515</v>
      </c>
      <c r="G165" s="291"/>
      <c r="H165" s="292"/>
      <c r="I165" s="291"/>
      <c r="J165" s="293">
        <v>0</v>
      </c>
      <c r="K165" s="291"/>
      <c r="L165" s="291">
        <f t="shared" si="5"/>
        <v>0</v>
      </c>
      <c r="M165" s="291"/>
      <c r="N165" s="291"/>
      <c r="O165" s="291"/>
      <c r="P165" s="291"/>
      <c r="Q165" s="291">
        <f t="shared" si="4"/>
        <v>0</v>
      </c>
      <c r="R165" s="371"/>
      <c r="S165" s="371"/>
      <c r="T165" s="372">
        <v>41639</v>
      </c>
      <c r="U165" s="153"/>
      <c r="V165" s="153"/>
      <c r="W165" s="153"/>
      <c r="X165" s="153"/>
      <c r="Y165" s="153"/>
      <c r="Z165" s="153"/>
    </row>
    <row r="166" spans="1:26" s="154" customFormat="1" ht="36">
      <c r="A166" s="467"/>
      <c r="B166" s="473"/>
      <c r="C166" s="155"/>
      <c r="D166" s="483"/>
      <c r="E166" s="294" t="s">
        <v>288</v>
      </c>
      <c r="F166" s="290" t="s">
        <v>516</v>
      </c>
      <c r="G166" s="291"/>
      <c r="H166" s="292"/>
      <c r="I166" s="291"/>
      <c r="J166" s="293">
        <v>50</v>
      </c>
      <c r="K166" s="291"/>
      <c r="L166" s="291">
        <f t="shared" si="5"/>
        <v>0</v>
      </c>
      <c r="M166" s="291"/>
      <c r="N166" s="291"/>
      <c r="O166" s="291"/>
      <c r="P166" s="291"/>
      <c r="Q166" s="291">
        <f t="shared" si="4"/>
        <v>0</v>
      </c>
      <c r="R166" s="371"/>
      <c r="S166" s="371"/>
      <c r="T166" s="372">
        <v>41639</v>
      </c>
      <c r="U166" s="153"/>
      <c r="V166" s="153"/>
      <c r="W166" s="153"/>
      <c r="X166" s="153"/>
      <c r="Y166" s="153"/>
      <c r="Z166" s="153"/>
    </row>
    <row r="167" spans="1:26" s="154" customFormat="1" ht="15">
      <c r="A167" s="467"/>
      <c r="B167" s="473"/>
      <c r="C167" s="155">
        <f>SUM(C157:C166)</f>
        <v>100</v>
      </c>
      <c r="D167" s="484"/>
      <c r="E167" s="297" t="s">
        <v>342</v>
      </c>
      <c r="F167" s="290"/>
      <c r="G167" s="291"/>
      <c r="H167" s="292"/>
      <c r="I167" s="291"/>
      <c r="J167" s="293"/>
      <c r="K167" s="291"/>
      <c r="L167" s="291">
        <f t="shared" si="5"/>
        <v>0</v>
      </c>
      <c r="M167" s="291"/>
      <c r="N167" s="291"/>
      <c r="O167" s="291"/>
      <c r="P167" s="291"/>
      <c r="Q167" s="291">
        <f t="shared" si="4"/>
        <v>0</v>
      </c>
      <c r="R167" s="371"/>
      <c r="S167" s="371"/>
      <c r="T167" s="372">
        <v>41639</v>
      </c>
      <c r="U167" s="153"/>
      <c r="V167" s="153"/>
      <c r="W167" s="153"/>
      <c r="X167" s="153"/>
      <c r="Y167" s="153"/>
      <c r="Z167" s="153"/>
    </row>
    <row r="168" spans="1:26" s="154" customFormat="1" ht="72">
      <c r="A168" s="467"/>
      <c r="B168" s="473"/>
      <c r="C168" s="155">
        <v>0</v>
      </c>
      <c r="D168" s="482" t="s">
        <v>165</v>
      </c>
      <c r="E168" s="294" t="s">
        <v>289</v>
      </c>
      <c r="F168" s="290" t="s">
        <v>517</v>
      </c>
      <c r="G168" s="291"/>
      <c r="H168" s="292"/>
      <c r="I168" s="291"/>
      <c r="J168" s="293"/>
      <c r="K168" s="291"/>
      <c r="L168" s="291">
        <f t="shared" si="5"/>
        <v>0</v>
      </c>
      <c r="M168" s="291"/>
      <c r="N168" s="291"/>
      <c r="O168" s="291"/>
      <c r="P168" s="291"/>
      <c r="Q168" s="291">
        <f t="shared" si="4"/>
        <v>0</v>
      </c>
      <c r="R168" s="371"/>
      <c r="S168" s="371"/>
      <c r="T168" s="372">
        <v>41639</v>
      </c>
      <c r="U168" s="153"/>
      <c r="V168" s="153"/>
      <c r="W168" s="153"/>
      <c r="X168" s="153"/>
      <c r="Y168" s="153"/>
      <c r="Z168" s="153"/>
    </row>
    <row r="169" spans="1:26" s="154" customFormat="1" ht="48">
      <c r="A169" s="467"/>
      <c r="B169" s="473"/>
      <c r="C169" s="155">
        <v>50</v>
      </c>
      <c r="D169" s="483"/>
      <c r="E169" s="294" t="s">
        <v>174</v>
      </c>
      <c r="F169" s="290" t="s">
        <v>518</v>
      </c>
      <c r="G169" s="291"/>
      <c r="H169" s="292"/>
      <c r="I169" s="291"/>
      <c r="J169" s="293">
        <v>5</v>
      </c>
      <c r="K169" s="291"/>
      <c r="L169" s="291">
        <f t="shared" si="5"/>
        <v>0</v>
      </c>
      <c r="M169" s="291"/>
      <c r="N169" s="291"/>
      <c r="O169" s="291"/>
      <c r="P169" s="291"/>
      <c r="Q169" s="291">
        <f t="shared" si="4"/>
        <v>0</v>
      </c>
      <c r="R169" s="371"/>
      <c r="S169" s="371"/>
      <c r="T169" s="372">
        <v>41639</v>
      </c>
      <c r="U169" s="153"/>
      <c r="V169" s="153"/>
      <c r="W169" s="153"/>
      <c r="X169" s="153"/>
      <c r="Y169" s="153"/>
      <c r="Z169" s="153"/>
    </row>
    <row r="170" spans="1:26" s="154" customFormat="1" ht="84" customHeight="1">
      <c r="A170" s="467"/>
      <c r="B170" s="473"/>
      <c r="C170" s="155">
        <v>50</v>
      </c>
      <c r="D170" s="483"/>
      <c r="E170" s="294" t="s">
        <v>175</v>
      </c>
      <c r="F170" s="290" t="s">
        <v>519</v>
      </c>
      <c r="G170" s="291"/>
      <c r="H170" s="292"/>
      <c r="I170" s="291"/>
      <c r="J170" s="298">
        <v>0.25</v>
      </c>
      <c r="K170" s="291"/>
      <c r="L170" s="291">
        <f t="shared" si="5"/>
        <v>0</v>
      </c>
      <c r="M170" s="291"/>
      <c r="N170" s="291"/>
      <c r="O170" s="291"/>
      <c r="P170" s="291"/>
      <c r="Q170" s="291">
        <f t="shared" si="4"/>
        <v>0</v>
      </c>
      <c r="R170" s="371"/>
      <c r="S170" s="371"/>
      <c r="T170" s="372">
        <v>41639</v>
      </c>
      <c r="U170" s="153"/>
      <c r="V170" s="153"/>
      <c r="W170" s="153"/>
      <c r="X170" s="153"/>
      <c r="Y170" s="153"/>
      <c r="Z170" s="153"/>
    </row>
    <row r="171" spans="1:26" s="11" customFormat="1" ht="15">
      <c r="A171" s="468"/>
      <c r="B171" s="474"/>
      <c r="C171" s="119">
        <f>SUM(C168:C170)</f>
        <v>100</v>
      </c>
      <c r="D171" s="484"/>
      <c r="E171" s="297" t="s">
        <v>342</v>
      </c>
      <c r="F171" s="290"/>
      <c r="G171" s="291"/>
      <c r="H171" s="292"/>
      <c r="I171" s="291"/>
      <c r="J171" s="293"/>
      <c r="K171" s="291"/>
      <c r="L171" s="291">
        <f t="shared" si="5"/>
        <v>0</v>
      </c>
      <c r="M171" s="291"/>
      <c r="N171" s="291"/>
      <c r="O171" s="291"/>
      <c r="P171" s="291"/>
      <c r="Q171" s="291">
        <f t="shared" si="4"/>
        <v>0</v>
      </c>
      <c r="R171" s="108"/>
      <c r="S171" s="120"/>
      <c r="T171" s="372">
        <v>41639</v>
      </c>
      <c r="U171" s="121"/>
      <c r="V171" s="121"/>
      <c r="W171" s="121"/>
      <c r="X171" s="121"/>
      <c r="Y171" s="121"/>
      <c r="Z171" s="121"/>
    </row>
    <row r="172" spans="1:26" s="11" customFormat="1" ht="39.75" customHeight="1">
      <c r="A172" s="451">
        <v>10</v>
      </c>
      <c r="B172" s="475" t="s">
        <v>176</v>
      </c>
      <c r="C172" s="119"/>
      <c r="D172" s="504" t="s">
        <v>176</v>
      </c>
      <c r="E172" s="505"/>
      <c r="F172" s="110"/>
      <c r="G172" s="113"/>
      <c r="H172" s="120"/>
      <c r="I172" s="113"/>
      <c r="J172" s="144"/>
      <c r="K172" s="113"/>
      <c r="L172" s="152">
        <f t="shared" si="5"/>
        <v>0</v>
      </c>
      <c r="M172" s="113"/>
      <c r="N172" s="113"/>
      <c r="O172" s="113"/>
      <c r="P172" s="113"/>
      <c r="Q172" s="152">
        <f t="shared" si="4"/>
        <v>0</v>
      </c>
      <c r="R172" s="108"/>
      <c r="S172" s="120"/>
      <c r="T172" s="372">
        <v>41639</v>
      </c>
      <c r="U172" s="121"/>
      <c r="V172" s="121"/>
      <c r="W172" s="121"/>
      <c r="X172" s="121"/>
      <c r="Y172" s="121"/>
      <c r="Z172" s="121"/>
    </row>
    <row r="173" spans="1:26" s="41" customFormat="1" ht="96">
      <c r="A173" s="452"/>
      <c r="B173" s="475"/>
      <c r="C173" s="115">
        <v>100</v>
      </c>
      <c r="D173" s="406" t="s">
        <v>177</v>
      </c>
      <c r="E173" s="45" t="s">
        <v>290</v>
      </c>
      <c r="F173" s="110" t="s">
        <v>520</v>
      </c>
      <c r="G173" s="112"/>
      <c r="H173" s="108"/>
      <c r="I173" s="112"/>
      <c r="J173" s="141">
        <v>70</v>
      </c>
      <c r="K173" s="112"/>
      <c r="L173" s="152">
        <f t="shared" si="5"/>
        <v>0</v>
      </c>
      <c r="M173" s="112"/>
      <c r="N173" s="112"/>
      <c r="O173" s="112"/>
      <c r="P173" s="112"/>
      <c r="Q173" s="152">
        <f t="shared" si="4"/>
        <v>0</v>
      </c>
      <c r="R173" s="108"/>
      <c r="S173" s="108"/>
      <c r="T173" s="372">
        <v>41639</v>
      </c>
      <c r="U173" s="114"/>
      <c r="V173" s="114"/>
      <c r="W173" s="114"/>
      <c r="X173" s="114"/>
      <c r="Y173" s="114"/>
      <c r="Z173" s="114"/>
    </row>
    <row r="174" spans="1:26" s="41" customFormat="1" ht="48">
      <c r="A174" s="452"/>
      <c r="B174" s="475"/>
      <c r="C174" s="115">
        <v>0</v>
      </c>
      <c r="D174" s="408"/>
      <c r="E174" s="45" t="s">
        <v>178</v>
      </c>
      <c r="F174" s="110" t="s">
        <v>470</v>
      </c>
      <c r="G174" s="112"/>
      <c r="H174" s="108"/>
      <c r="I174" s="112"/>
      <c r="J174" s="141">
        <v>0</v>
      </c>
      <c r="K174" s="112"/>
      <c r="L174" s="152">
        <f t="shared" si="5"/>
        <v>0</v>
      </c>
      <c r="M174" s="112"/>
      <c r="N174" s="112"/>
      <c r="O174" s="112"/>
      <c r="P174" s="112"/>
      <c r="Q174" s="152">
        <f t="shared" si="4"/>
        <v>0</v>
      </c>
      <c r="R174" s="108"/>
      <c r="S174" s="108"/>
      <c r="T174" s="372">
        <v>41639</v>
      </c>
      <c r="U174" s="114"/>
      <c r="V174" s="114"/>
      <c r="W174" s="114"/>
      <c r="X174" s="114"/>
      <c r="Y174" s="114"/>
      <c r="Z174" s="114"/>
    </row>
    <row r="175" spans="1:26" s="41" customFormat="1" ht="96">
      <c r="A175" s="452"/>
      <c r="B175" s="475"/>
      <c r="C175" s="115">
        <v>0</v>
      </c>
      <c r="D175" s="408"/>
      <c r="E175" s="45" t="s">
        <v>291</v>
      </c>
      <c r="F175" s="110" t="s">
        <v>471</v>
      </c>
      <c r="G175" s="112"/>
      <c r="H175" s="108"/>
      <c r="I175" s="112"/>
      <c r="J175" s="141">
        <v>0</v>
      </c>
      <c r="K175" s="112"/>
      <c r="L175" s="152">
        <f t="shared" si="5"/>
        <v>0</v>
      </c>
      <c r="M175" s="112"/>
      <c r="N175" s="112"/>
      <c r="O175" s="112"/>
      <c r="P175" s="112"/>
      <c r="Q175" s="152">
        <f t="shared" si="4"/>
        <v>0</v>
      </c>
      <c r="R175" s="108"/>
      <c r="S175" s="108"/>
      <c r="T175" s="372">
        <v>41639</v>
      </c>
      <c r="U175" s="114"/>
      <c r="V175" s="114"/>
      <c r="W175" s="114"/>
      <c r="X175" s="114"/>
      <c r="Y175" s="114"/>
      <c r="Z175" s="114"/>
    </row>
    <row r="176" spans="1:26" s="41" customFormat="1" ht="60">
      <c r="A176" s="452"/>
      <c r="B176" s="475"/>
      <c r="C176" s="115">
        <v>0</v>
      </c>
      <c r="D176" s="408"/>
      <c r="E176" s="45" t="s">
        <v>179</v>
      </c>
      <c r="F176" s="110" t="s">
        <v>521</v>
      </c>
      <c r="G176" s="112"/>
      <c r="H176" s="108"/>
      <c r="I176" s="112"/>
      <c r="J176" s="141">
        <v>0</v>
      </c>
      <c r="K176" s="112"/>
      <c r="L176" s="152">
        <f t="shared" si="5"/>
        <v>0</v>
      </c>
      <c r="M176" s="112"/>
      <c r="N176" s="112"/>
      <c r="O176" s="112"/>
      <c r="P176" s="112"/>
      <c r="Q176" s="152">
        <f t="shared" si="4"/>
        <v>0</v>
      </c>
      <c r="R176" s="108"/>
      <c r="S176" s="108"/>
      <c r="T176" s="372">
        <v>41639</v>
      </c>
      <c r="U176" s="114"/>
      <c r="V176" s="114"/>
      <c r="W176" s="114"/>
      <c r="X176" s="114"/>
      <c r="Y176" s="114"/>
      <c r="Z176" s="114"/>
    </row>
    <row r="177" spans="1:26" s="11" customFormat="1" ht="15">
      <c r="A177" s="453"/>
      <c r="B177" s="475"/>
      <c r="C177" s="119">
        <f>SUM(C173:C176)</f>
        <v>100</v>
      </c>
      <c r="D177" s="407"/>
      <c r="E177" s="31" t="s">
        <v>342</v>
      </c>
      <c r="F177" s="110"/>
      <c r="G177" s="113"/>
      <c r="H177" s="120"/>
      <c r="I177" s="113"/>
      <c r="J177" s="144"/>
      <c r="K177" s="113"/>
      <c r="L177" s="152">
        <f t="shared" si="5"/>
        <v>0</v>
      </c>
      <c r="M177" s="113"/>
      <c r="N177" s="113"/>
      <c r="O177" s="113"/>
      <c r="P177" s="113"/>
      <c r="Q177" s="152">
        <f t="shared" si="4"/>
        <v>0</v>
      </c>
      <c r="R177" s="108"/>
      <c r="S177" s="120"/>
      <c r="T177" s="372">
        <v>41639</v>
      </c>
      <c r="U177" s="121"/>
      <c r="V177" s="121"/>
      <c r="W177" s="121"/>
      <c r="X177" s="121"/>
      <c r="Y177" s="121"/>
      <c r="Z177" s="121"/>
    </row>
    <row r="178" spans="1:26" s="11" customFormat="1" ht="42.75" customHeight="1">
      <c r="A178" s="454">
        <v>10</v>
      </c>
      <c r="B178" s="472" t="s">
        <v>611</v>
      </c>
      <c r="C178" s="119"/>
      <c r="D178" s="487" t="s">
        <v>57</v>
      </c>
      <c r="E178" s="488"/>
      <c r="F178" s="282"/>
      <c r="G178" s="283"/>
      <c r="H178" s="284"/>
      <c r="I178" s="283"/>
      <c r="J178" s="285"/>
      <c r="K178" s="283"/>
      <c r="L178" s="283">
        <f t="shared" si="5"/>
        <v>0</v>
      </c>
      <c r="M178" s="283"/>
      <c r="N178" s="283"/>
      <c r="O178" s="283"/>
      <c r="P178" s="283"/>
      <c r="Q178" s="283">
        <f t="shared" si="4"/>
        <v>0</v>
      </c>
      <c r="R178" s="108"/>
      <c r="S178" s="120"/>
      <c r="T178" s="372">
        <v>41639</v>
      </c>
      <c r="U178" s="121"/>
      <c r="V178" s="121"/>
      <c r="W178" s="121"/>
      <c r="X178" s="121"/>
      <c r="Y178" s="121"/>
      <c r="Z178" s="121"/>
    </row>
    <row r="179" spans="1:26" s="11" customFormat="1" ht="51.75" customHeight="1">
      <c r="A179" s="455"/>
      <c r="B179" s="473"/>
      <c r="C179" s="119">
        <v>0</v>
      </c>
      <c r="D179" s="489" t="s">
        <v>180</v>
      </c>
      <c r="E179" s="286" t="s">
        <v>182</v>
      </c>
      <c r="F179" s="282" t="s">
        <v>522</v>
      </c>
      <c r="G179" s="283"/>
      <c r="H179" s="284"/>
      <c r="I179" s="283"/>
      <c r="J179" s="285">
        <v>0</v>
      </c>
      <c r="K179" s="283"/>
      <c r="L179" s="283">
        <f t="shared" si="5"/>
        <v>0</v>
      </c>
      <c r="M179" s="283"/>
      <c r="N179" s="283"/>
      <c r="O179" s="283"/>
      <c r="P179" s="283"/>
      <c r="Q179" s="283">
        <f t="shared" si="4"/>
        <v>0</v>
      </c>
      <c r="R179" s="108"/>
      <c r="S179" s="120"/>
      <c r="T179" s="372">
        <v>41639</v>
      </c>
      <c r="U179" s="121"/>
      <c r="V179" s="121"/>
      <c r="W179" s="121"/>
      <c r="X179" s="121"/>
      <c r="Y179" s="121"/>
      <c r="Z179" s="121"/>
    </row>
    <row r="180" spans="1:26" s="11" customFormat="1" ht="36.75" customHeight="1">
      <c r="A180" s="455"/>
      <c r="B180" s="473"/>
      <c r="C180" s="119">
        <v>0</v>
      </c>
      <c r="D180" s="490"/>
      <c r="E180" s="286" t="s">
        <v>181</v>
      </c>
      <c r="F180" s="282" t="s">
        <v>523</v>
      </c>
      <c r="G180" s="283"/>
      <c r="H180" s="284"/>
      <c r="I180" s="283"/>
      <c r="J180" s="285">
        <v>0</v>
      </c>
      <c r="K180" s="283"/>
      <c r="L180" s="283">
        <f t="shared" si="5"/>
        <v>5000000</v>
      </c>
      <c r="M180" s="283">
        <v>5000000</v>
      </c>
      <c r="N180" s="283"/>
      <c r="O180" s="283"/>
      <c r="P180" s="283"/>
      <c r="Q180" s="283">
        <f t="shared" si="4"/>
        <v>5000000</v>
      </c>
      <c r="R180" s="108" t="s">
        <v>764</v>
      </c>
      <c r="S180" s="120" t="s">
        <v>773</v>
      </c>
      <c r="T180" s="372">
        <v>41639</v>
      </c>
      <c r="U180" s="121"/>
      <c r="V180" s="121"/>
      <c r="W180" s="121"/>
      <c r="X180" s="121"/>
      <c r="Y180" s="121"/>
      <c r="Z180" s="121"/>
    </row>
    <row r="181" spans="1:26" s="11" customFormat="1" ht="56.25" customHeight="1">
      <c r="A181" s="455"/>
      <c r="B181" s="473"/>
      <c r="C181" s="119">
        <v>100</v>
      </c>
      <c r="D181" s="490"/>
      <c r="E181" s="286" t="s">
        <v>183</v>
      </c>
      <c r="F181" s="282" t="s">
        <v>524</v>
      </c>
      <c r="G181" s="283"/>
      <c r="H181" s="284" t="s">
        <v>682</v>
      </c>
      <c r="I181" s="283">
        <v>0</v>
      </c>
      <c r="J181" s="287">
        <v>0.05</v>
      </c>
      <c r="K181" s="288">
        <v>0.03</v>
      </c>
      <c r="L181" s="283">
        <f t="shared" si="5"/>
        <v>5000000</v>
      </c>
      <c r="M181" s="283">
        <v>5000000</v>
      </c>
      <c r="N181" s="283"/>
      <c r="O181" s="283"/>
      <c r="P181" s="283"/>
      <c r="Q181" s="283">
        <f t="shared" si="4"/>
        <v>5000000</v>
      </c>
      <c r="R181" s="108" t="s">
        <v>738</v>
      </c>
      <c r="S181" s="120" t="s">
        <v>773</v>
      </c>
      <c r="T181" s="372">
        <v>41639</v>
      </c>
      <c r="U181" s="121"/>
      <c r="V181" s="121"/>
      <c r="W181" s="121"/>
      <c r="X181" s="121"/>
      <c r="Y181" s="121"/>
      <c r="Z181" s="121"/>
    </row>
    <row r="182" spans="1:26" s="11" customFormat="1" ht="60.75" customHeight="1">
      <c r="A182" s="455"/>
      <c r="B182" s="473"/>
      <c r="C182" s="119">
        <v>0</v>
      </c>
      <c r="D182" s="490"/>
      <c r="E182" s="286" t="s">
        <v>184</v>
      </c>
      <c r="F182" s="282" t="s">
        <v>525</v>
      </c>
      <c r="G182" s="283"/>
      <c r="H182" s="284"/>
      <c r="I182" s="283"/>
      <c r="J182" s="285">
        <v>0</v>
      </c>
      <c r="K182" s="283"/>
      <c r="L182" s="283">
        <f t="shared" si="5"/>
        <v>0</v>
      </c>
      <c r="M182" s="283"/>
      <c r="N182" s="283"/>
      <c r="O182" s="283"/>
      <c r="P182" s="283"/>
      <c r="Q182" s="283">
        <f t="shared" si="4"/>
        <v>0</v>
      </c>
      <c r="R182" s="108"/>
      <c r="S182" s="120"/>
      <c r="T182" s="372">
        <v>41639</v>
      </c>
      <c r="U182" s="121"/>
      <c r="V182" s="121"/>
      <c r="W182" s="121"/>
      <c r="X182" s="121"/>
      <c r="Y182" s="121"/>
      <c r="Z182" s="121"/>
    </row>
    <row r="183" spans="1:26" s="11" customFormat="1" ht="19.5" customHeight="1">
      <c r="A183" s="455"/>
      <c r="B183" s="473"/>
      <c r="C183" s="119">
        <f>SUM(C179:C182)</f>
        <v>100</v>
      </c>
      <c r="D183" s="491"/>
      <c r="E183" s="289" t="s">
        <v>342</v>
      </c>
      <c r="F183" s="282"/>
      <c r="G183" s="283"/>
      <c r="H183" s="284"/>
      <c r="I183" s="283"/>
      <c r="J183" s="285"/>
      <c r="K183" s="283"/>
      <c r="L183" s="283">
        <f t="shared" si="5"/>
        <v>0</v>
      </c>
      <c r="M183" s="283"/>
      <c r="N183" s="283"/>
      <c r="O183" s="283"/>
      <c r="P183" s="283"/>
      <c r="Q183" s="283">
        <f t="shared" si="4"/>
        <v>0</v>
      </c>
      <c r="R183" s="108"/>
      <c r="S183" s="120"/>
      <c r="T183" s="372">
        <v>41639</v>
      </c>
      <c r="U183" s="121"/>
      <c r="V183" s="121"/>
      <c r="W183" s="121"/>
      <c r="X183" s="121"/>
      <c r="Y183" s="121"/>
      <c r="Z183" s="121"/>
    </row>
    <row r="184" spans="1:26" s="189" customFormat="1" ht="45" customHeight="1">
      <c r="A184" s="455"/>
      <c r="B184" s="473"/>
      <c r="C184" s="182"/>
      <c r="D184" s="492" t="s">
        <v>68</v>
      </c>
      <c r="E184" s="493"/>
      <c r="F184" s="184"/>
      <c r="G184" s="185"/>
      <c r="H184" s="186"/>
      <c r="I184" s="185"/>
      <c r="J184" s="187"/>
      <c r="K184" s="185"/>
      <c r="L184" s="185">
        <f t="shared" si="5"/>
        <v>0</v>
      </c>
      <c r="M184" s="185"/>
      <c r="N184" s="185"/>
      <c r="O184" s="185"/>
      <c r="P184" s="185"/>
      <c r="Q184" s="185">
        <f t="shared" si="4"/>
        <v>0</v>
      </c>
      <c r="R184" s="108"/>
      <c r="S184" s="120"/>
      <c r="T184" s="372">
        <v>41639</v>
      </c>
      <c r="U184" s="121"/>
      <c r="V184" s="121"/>
      <c r="W184" s="188"/>
      <c r="X184" s="188"/>
      <c r="Y184" s="188"/>
      <c r="Z184" s="188"/>
    </row>
    <row r="185" spans="1:26" s="189" customFormat="1" ht="51" customHeight="1">
      <c r="A185" s="455"/>
      <c r="B185" s="473"/>
      <c r="C185" s="182">
        <v>20</v>
      </c>
      <c r="D185" s="494" t="s">
        <v>185</v>
      </c>
      <c r="E185" s="183" t="s">
        <v>188</v>
      </c>
      <c r="F185" s="184" t="s">
        <v>526</v>
      </c>
      <c r="G185" s="185"/>
      <c r="H185" s="186"/>
      <c r="I185" s="185"/>
      <c r="J185" s="187">
        <v>2</v>
      </c>
      <c r="K185" s="185"/>
      <c r="L185" s="185">
        <f t="shared" si="5"/>
        <v>0</v>
      </c>
      <c r="M185" s="185"/>
      <c r="N185" s="185"/>
      <c r="O185" s="185"/>
      <c r="P185" s="185"/>
      <c r="Q185" s="185">
        <f t="shared" si="4"/>
        <v>0</v>
      </c>
      <c r="R185" s="186"/>
      <c r="S185" s="186"/>
      <c r="T185" s="372">
        <v>41639</v>
      </c>
      <c r="U185" s="188"/>
      <c r="V185" s="188"/>
      <c r="W185" s="188"/>
      <c r="X185" s="188"/>
      <c r="Y185" s="188"/>
      <c r="Z185" s="188"/>
    </row>
    <row r="186" spans="1:26" s="189" customFormat="1" ht="38.25" customHeight="1">
      <c r="A186" s="455"/>
      <c r="B186" s="473"/>
      <c r="C186" s="182">
        <v>20</v>
      </c>
      <c r="D186" s="495"/>
      <c r="E186" s="183" t="s">
        <v>187</v>
      </c>
      <c r="F186" s="184" t="s">
        <v>526</v>
      </c>
      <c r="G186" s="185"/>
      <c r="H186" s="186"/>
      <c r="I186" s="185"/>
      <c r="J186" s="187">
        <v>2</v>
      </c>
      <c r="K186" s="185"/>
      <c r="L186" s="185">
        <f t="shared" si="5"/>
        <v>0</v>
      </c>
      <c r="M186" s="185"/>
      <c r="N186" s="185"/>
      <c r="O186" s="185"/>
      <c r="P186" s="185"/>
      <c r="Q186" s="185">
        <f t="shared" si="4"/>
        <v>0</v>
      </c>
      <c r="R186" s="186"/>
      <c r="S186" s="186"/>
      <c r="T186" s="372">
        <v>41639</v>
      </c>
      <c r="U186" s="188"/>
      <c r="V186" s="188"/>
      <c r="W186" s="188"/>
      <c r="X186" s="188"/>
      <c r="Y186" s="188"/>
      <c r="Z186" s="188"/>
    </row>
    <row r="187" spans="1:26" s="189" customFormat="1" ht="34.5" customHeight="1">
      <c r="A187" s="455"/>
      <c r="B187" s="473"/>
      <c r="C187" s="182"/>
      <c r="D187" s="495"/>
      <c r="E187" s="183" t="s">
        <v>186</v>
      </c>
      <c r="F187" s="184" t="s">
        <v>527</v>
      </c>
      <c r="G187" s="185"/>
      <c r="H187" s="186"/>
      <c r="I187" s="185"/>
      <c r="J187" s="187"/>
      <c r="K187" s="185"/>
      <c r="L187" s="185">
        <f t="shared" si="5"/>
        <v>7000000</v>
      </c>
      <c r="M187" s="185"/>
      <c r="N187" s="185">
        <v>7000000</v>
      </c>
      <c r="O187" s="185"/>
      <c r="P187" s="185"/>
      <c r="Q187" s="185">
        <f t="shared" si="4"/>
        <v>7000000</v>
      </c>
      <c r="R187" s="186" t="s">
        <v>765</v>
      </c>
      <c r="S187" s="186"/>
      <c r="T187" s="372">
        <v>41639</v>
      </c>
      <c r="U187" s="188"/>
      <c r="V187" s="188"/>
      <c r="W187" s="188"/>
      <c r="X187" s="188"/>
      <c r="Y187" s="188"/>
      <c r="Z187" s="188"/>
    </row>
    <row r="188" spans="1:26" s="189" customFormat="1" ht="45" customHeight="1">
      <c r="A188" s="455"/>
      <c r="B188" s="473"/>
      <c r="C188" s="182"/>
      <c r="D188" s="495"/>
      <c r="E188" s="183" t="s">
        <v>189</v>
      </c>
      <c r="F188" s="184" t="s">
        <v>528</v>
      </c>
      <c r="G188" s="185"/>
      <c r="H188" s="186"/>
      <c r="I188" s="185"/>
      <c r="J188" s="187"/>
      <c r="K188" s="185"/>
      <c r="L188" s="185">
        <f t="shared" si="5"/>
        <v>4320000</v>
      </c>
      <c r="M188" s="185"/>
      <c r="N188" s="185">
        <v>4320000</v>
      </c>
      <c r="O188" s="185"/>
      <c r="P188" s="185"/>
      <c r="Q188" s="185">
        <f t="shared" si="4"/>
        <v>4320000</v>
      </c>
      <c r="R188" s="186" t="s">
        <v>765</v>
      </c>
      <c r="S188" s="186"/>
      <c r="T188" s="372">
        <v>41639</v>
      </c>
      <c r="U188" s="188"/>
      <c r="V188" s="188"/>
      <c r="W188" s="188"/>
      <c r="X188" s="188"/>
      <c r="Y188" s="188"/>
      <c r="Z188" s="188"/>
    </row>
    <row r="189" spans="1:26" s="189" customFormat="1" ht="39.75" customHeight="1">
      <c r="A189" s="455"/>
      <c r="B189" s="473"/>
      <c r="C189" s="182">
        <v>30</v>
      </c>
      <c r="D189" s="495"/>
      <c r="E189" s="183" t="s">
        <v>190</v>
      </c>
      <c r="F189" s="184" t="s">
        <v>529</v>
      </c>
      <c r="G189" s="185"/>
      <c r="H189" s="186"/>
      <c r="I189" s="185"/>
      <c r="J189" s="187">
        <v>1</v>
      </c>
      <c r="K189" s="185"/>
      <c r="L189" s="185">
        <f t="shared" si="5"/>
        <v>12000000</v>
      </c>
      <c r="M189" s="185"/>
      <c r="N189" s="185">
        <v>12000000</v>
      </c>
      <c r="O189" s="185"/>
      <c r="P189" s="185"/>
      <c r="Q189" s="185">
        <f t="shared" si="4"/>
        <v>12000000</v>
      </c>
      <c r="R189" s="186" t="s">
        <v>765</v>
      </c>
      <c r="S189" s="186"/>
      <c r="T189" s="372">
        <v>41639</v>
      </c>
      <c r="U189" s="188"/>
      <c r="V189" s="188"/>
      <c r="W189" s="188"/>
      <c r="X189" s="188"/>
      <c r="Y189" s="188"/>
      <c r="Z189" s="188"/>
    </row>
    <row r="190" spans="1:26" s="189" customFormat="1" ht="45.75" customHeight="1">
      <c r="A190" s="455"/>
      <c r="B190" s="473"/>
      <c r="C190" s="182">
        <v>30</v>
      </c>
      <c r="D190" s="495"/>
      <c r="E190" s="183" t="s">
        <v>191</v>
      </c>
      <c r="F190" s="184" t="s">
        <v>530</v>
      </c>
      <c r="G190" s="185"/>
      <c r="H190" s="186"/>
      <c r="I190" s="185"/>
      <c r="J190" s="187">
        <v>3</v>
      </c>
      <c r="K190" s="185"/>
      <c r="L190" s="185">
        <f t="shared" si="5"/>
        <v>7500000</v>
      </c>
      <c r="M190" s="185"/>
      <c r="N190" s="185">
        <v>7500000</v>
      </c>
      <c r="O190" s="185"/>
      <c r="P190" s="185"/>
      <c r="Q190" s="185">
        <f t="shared" si="4"/>
        <v>7500000</v>
      </c>
      <c r="R190" s="186" t="s">
        <v>765</v>
      </c>
      <c r="S190" s="186"/>
      <c r="T190" s="372">
        <v>41639</v>
      </c>
      <c r="U190" s="188"/>
      <c r="V190" s="188"/>
      <c r="W190" s="188"/>
      <c r="X190" s="188"/>
      <c r="Y190" s="188"/>
      <c r="Z190" s="188"/>
    </row>
    <row r="191" spans="1:26" s="11" customFormat="1" ht="19.5" customHeight="1">
      <c r="A191" s="455"/>
      <c r="B191" s="473"/>
      <c r="C191" s="119">
        <f>SUM(C185:C190)</f>
        <v>100</v>
      </c>
      <c r="D191" s="496"/>
      <c r="E191" s="280" t="s">
        <v>342</v>
      </c>
      <c r="F191" s="184"/>
      <c r="G191" s="185"/>
      <c r="H191" s="186"/>
      <c r="I191" s="185"/>
      <c r="J191" s="187"/>
      <c r="K191" s="185"/>
      <c r="L191" s="185">
        <f t="shared" si="5"/>
        <v>0</v>
      </c>
      <c r="M191" s="185"/>
      <c r="N191" s="185"/>
      <c r="O191" s="185"/>
      <c r="P191" s="185"/>
      <c r="Q191" s="185">
        <f t="shared" si="4"/>
        <v>0</v>
      </c>
      <c r="R191" s="108"/>
      <c r="S191" s="120"/>
      <c r="T191" s="372">
        <v>41639</v>
      </c>
      <c r="U191" s="121"/>
      <c r="V191" s="121"/>
      <c r="W191" s="121"/>
      <c r="X191" s="121"/>
      <c r="Y191" s="121"/>
      <c r="Z191" s="121"/>
    </row>
    <row r="192" spans="1:26" s="10" customFormat="1" ht="33.75" customHeight="1">
      <c r="A192" s="455"/>
      <c r="B192" s="473"/>
      <c r="C192" s="124"/>
      <c r="D192" s="497" t="s">
        <v>56</v>
      </c>
      <c r="E192" s="498"/>
      <c r="F192" s="258"/>
      <c r="G192" s="259"/>
      <c r="H192" s="260"/>
      <c r="I192" s="259"/>
      <c r="J192" s="261"/>
      <c r="K192" s="259"/>
      <c r="L192" s="262">
        <f t="shared" si="5"/>
        <v>0</v>
      </c>
      <c r="M192" s="259"/>
      <c r="N192" s="259"/>
      <c r="O192" s="259"/>
      <c r="P192" s="259"/>
      <c r="Q192" s="262">
        <f t="shared" si="4"/>
        <v>0</v>
      </c>
      <c r="R192" s="377"/>
      <c r="S192" s="126"/>
      <c r="T192" s="372">
        <v>41639</v>
      </c>
      <c r="U192" s="127"/>
      <c r="V192" s="127"/>
      <c r="W192" s="127"/>
      <c r="X192" s="127"/>
      <c r="Y192" s="127"/>
      <c r="Z192" s="127"/>
    </row>
    <row r="193" spans="1:26" s="201" customFormat="1" ht="51" customHeight="1">
      <c r="A193" s="455"/>
      <c r="B193" s="473"/>
      <c r="C193" s="199">
        <v>0</v>
      </c>
      <c r="D193" s="499" t="s">
        <v>192</v>
      </c>
      <c r="E193" s="271" t="s">
        <v>193</v>
      </c>
      <c r="F193" s="258" t="s">
        <v>531</v>
      </c>
      <c r="G193" s="262"/>
      <c r="H193" s="269"/>
      <c r="I193" s="262"/>
      <c r="J193" s="268">
        <v>0</v>
      </c>
      <c r="K193" s="262"/>
      <c r="L193" s="262">
        <f t="shared" si="5"/>
        <v>10000000</v>
      </c>
      <c r="M193" s="262"/>
      <c r="N193" s="262">
        <v>10000000</v>
      </c>
      <c r="O193" s="262"/>
      <c r="P193" s="262"/>
      <c r="Q193" s="262">
        <f t="shared" si="4"/>
        <v>10000000</v>
      </c>
      <c r="R193" s="382" t="s">
        <v>766</v>
      </c>
      <c r="S193" s="382"/>
      <c r="T193" s="372">
        <v>41639</v>
      </c>
      <c r="U193" s="200"/>
      <c r="V193" s="200"/>
      <c r="W193" s="200"/>
      <c r="X193" s="200"/>
      <c r="Y193" s="200"/>
      <c r="Z193" s="200"/>
    </row>
    <row r="194" spans="1:26" s="201" customFormat="1" ht="44.25" customHeight="1">
      <c r="A194" s="455"/>
      <c r="B194" s="473"/>
      <c r="C194" s="199">
        <v>0</v>
      </c>
      <c r="D194" s="500"/>
      <c r="E194" s="271" t="s">
        <v>194</v>
      </c>
      <c r="F194" s="258" t="s">
        <v>532</v>
      </c>
      <c r="G194" s="262"/>
      <c r="H194" s="269"/>
      <c r="I194" s="262"/>
      <c r="J194" s="268">
        <v>0</v>
      </c>
      <c r="K194" s="262"/>
      <c r="L194" s="262">
        <f t="shared" si="5"/>
        <v>4500000</v>
      </c>
      <c r="M194" s="262"/>
      <c r="N194" s="262">
        <v>4500000</v>
      </c>
      <c r="O194" s="262"/>
      <c r="P194" s="262"/>
      <c r="Q194" s="262">
        <f t="shared" si="4"/>
        <v>4500000</v>
      </c>
      <c r="R194" s="382" t="s">
        <v>767</v>
      </c>
      <c r="S194" s="382"/>
      <c r="T194" s="372">
        <v>41639</v>
      </c>
      <c r="U194" s="200"/>
      <c r="V194" s="200"/>
      <c r="W194" s="200"/>
      <c r="X194" s="200"/>
      <c r="Y194" s="200"/>
      <c r="Z194" s="200"/>
    </row>
    <row r="195" spans="1:26" s="201" customFormat="1" ht="39" customHeight="1">
      <c r="A195" s="455"/>
      <c r="B195" s="473"/>
      <c r="C195" s="199">
        <v>20</v>
      </c>
      <c r="D195" s="500"/>
      <c r="E195" s="271" t="s">
        <v>195</v>
      </c>
      <c r="F195" s="258" t="s">
        <v>533</v>
      </c>
      <c r="G195" s="262"/>
      <c r="H195" s="269"/>
      <c r="I195" s="262"/>
      <c r="J195" s="270">
        <v>0.25</v>
      </c>
      <c r="K195" s="262"/>
      <c r="L195" s="262">
        <f t="shared" si="5"/>
        <v>4200000</v>
      </c>
      <c r="M195" s="262"/>
      <c r="N195" s="262">
        <v>4200000</v>
      </c>
      <c r="O195" s="262"/>
      <c r="P195" s="262"/>
      <c r="Q195" s="262">
        <f t="shared" si="4"/>
        <v>4200000</v>
      </c>
      <c r="R195" s="382" t="s">
        <v>734</v>
      </c>
      <c r="S195" s="382"/>
      <c r="T195" s="372">
        <v>41639</v>
      </c>
      <c r="U195" s="200"/>
      <c r="V195" s="200"/>
      <c r="W195" s="200"/>
      <c r="X195" s="200"/>
      <c r="Y195" s="200"/>
      <c r="Z195" s="200"/>
    </row>
    <row r="196" spans="1:26" s="201" customFormat="1" ht="41.25" customHeight="1">
      <c r="A196" s="455"/>
      <c r="B196" s="473"/>
      <c r="C196" s="199">
        <v>0</v>
      </c>
      <c r="D196" s="500"/>
      <c r="E196" s="271" t="s">
        <v>196</v>
      </c>
      <c r="F196" s="258" t="s">
        <v>534</v>
      </c>
      <c r="G196" s="262"/>
      <c r="H196" s="269"/>
      <c r="I196" s="262"/>
      <c r="J196" s="268">
        <v>0</v>
      </c>
      <c r="K196" s="262"/>
      <c r="L196" s="262">
        <f t="shared" si="5"/>
        <v>2000000</v>
      </c>
      <c r="M196" s="262"/>
      <c r="N196" s="262">
        <v>2000000</v>
      </c>
      <c r="O196" s="262"/>
      <c r="P196" s="262"/>
      <c r="Q196" s="262">
        <f aca="true" t="shared" si="6" ref="Q196:Q259">SUM(M196:P196)</f>
        <v>2000000</v>
      </c>
      <c r="R196" s="382" t="s">
        <v>734</v>
      </c>
      <c r="S196" s="382"/>
      <c r="T196" s="372">
        <v>41639</v>
      </c>
      <c r="U196" s="200"/>
      <c r="V196" s="200"/>
      <c r="W196" s="200"/>
      <c r="X196" s="200"/>
      <c r="Y196" s="200"/>
      <c r="Z196" s="200"/>
    </row>
    <row r="197" spans="1:26" s="201" customFormat="1" ht="44.25" customHeight="1">
      <c r="A197" s="455"/>
      <c r="B197" s="473"/>
      <c r="C197" s="199">
        <v>5</v>
      </c>
      <c r="D197" s="500"/>
      <c r="E197" s="271" t="s">
        <v>197</v>
      </c>
      <c r="F197" s="258" t="s">
        <v>535</v>
      </c>
      <c r="G197" s="262"/>
      <c r="H197" s="269"/>
      <c r="I197" s="262"/>
      <c r="J197" s="270">
        <v>0.25</v>
      </c>
      <c r="K197" s="262"/>
      <c r="L197" s="262">
        <f t="shared" si="5"/>
        <v>20000000</v>
      </c>
      <c r="M197" s="262"/>
      <c r="N197" s="262">
        <v>20000000</v>
      </c>
      <c r="O197" s="262"/>
      <c r="P197" s="262"/>
      <c r="Q197" s="262">
        <f t="shared" si="6"/>
        <v>20000000</v>
      </c>
      <c r="R197" s="382" t="s">
        <v>768</v>
      </c>
      <c r="S197" s="382"/>
      <c r="T197" s="372">
        <v>41639</v>
      </c>
      <c r="U197" s="200"/>
      <c r="V197" s="200"/>
      <c r="W197" s="200"/>
      <c r="X197" s="200"/>
      <c r="Y197" s="200"/>
      <c r="Z197" s="200"/>
    </row>
    <row r="198" spans="1:26" s="201" customFormat="1" ht="45" customHeight="1">
      <c r="A198" s="455"/>
      <c r="B198" s="473"/>
      <c r="C198" s="199">
        <v>30</v>
      </c>
      <c r="D198" s="500"/>
      <c r="E198" s="271" t="s">
        <v>198</v>
      </c>
      <c r="F198" s="258" t="s">
        <v>536</v>
      </c>
      <c r="G198" s="262"/>
      <c r="H198" s="269" t="s">
        <v>647</v>
      </c>
      <c r="I198" s="262" t="s">
        <v>648</v>
      </c>
      <c r="J198" s="270">
        <v>0.25</v>
      </c>
      <c r="K198" s="262"/>
      <c r="L198" s="262">
        <f aca="true" t="shared" si="7" ref="L198:L261">+M198+N198+O198+P198</f>
        <v>0</v>
      </c>
      <c r="M198" s="262"/>
      <c r="N198" s="262"/>
      <c r="O198" s="262"/>
      <c r="P198" s="262"/>
      <c r="Q198" s="262">
        <f t="shared" si="6"/>
        <v>0</v>
      </c>
      <c r="R198" s="382"/>
      <c r="S198" s="382" t="s">
        <v>620</v>
      </c>
      <c r="T198" s="372">
        <v>41639</v>
      </c>
      <c r="U198" s="200"/>
      <c r="V198" s="200"/>
      <c r="W198" s="200"/>
      <c r="X198" s="200"/>
      <c r="Y198" s="200"/>
      <c r="Z198" s="200"/>
    </row>
    <row r="199" spans="1:26" s="201" customFormat="1" ht="33" customHeight="1">
      <c r="A199" s="455"/>
      <c r="B199" s="473"/>
      <c r="C199" s="199">
        <v>40</v>
      </c>
      <c r="D199" s="500"/>
      <c r="E199" s="271" t="s">
        <v>199</v>
      </c>
      <c r="F199" s="258" t="s">
        <v>537</v>
      </c>
      <c r="G199" s="262"/>
      <c r="H199" s="269" t="s">
        <v>713</v>
      </c>
      <c r="I199" s="262"/>
      <c r="J199" s="270">
        <v>0.25</v>
      </c>
      <c r="K199" s="262"/>
      <c r="L199" s="262">
        <f t="shared" si="7"/>
        <v>0</v>
      </c>
      <c r="M199" s="262"/>
      <c r="N199" s="262"/>
      <c r="O199" s="262"/>
      <c r="P199" s="262"/>
      <c r="Q199" s="262">
        <f t="shared" si="6"/>
        <v>0</v>
      </c>
      <c r="R199" s="382" t="s">
        <v>734</v>
      </c>
      <c r="S199" s="382" t="s">
        <v>633</v>
      </c>
      <c r="T199" s="372">
        <v>41639</v>
      </c>
      <c r="U199" s="200"/>
      <c r="V199" s="200"/>
      <c r="W199" s="200"/>
      <c r="X199" s="200"/>
      <c r="Y199" s="200"/>
      <c r="Z199" s="200"/>
    </row>
    <row r="200" spans="1:26" s="201" customFormat="1" ht="37.5" customHeight="1">
      <c r="A200" s="455"/>
      <c r="B200" s="473"/>
      <c r="C200" s="199">
        <v>5</v>
      </c>
      <c r="D200" s="500"/>
      <c r="E200" s="271" t="s">
        <v>200</v>
      </c>
      <c r="F200" s="258" t="s">
        <v>524</v>
      </c>
      <c r="G200" s="262"/>
      <c r="H200" s="269"/>
      <c r="I200" s="262"/>
      <c r="J200" s="270">
        <v>0.25</v>
      </c>
      <c r="K200" s="262"/>
      <c r="L200" s="262">
        <f t="shared" si="7"/>
        <v>4842129</v>
      </c>
      <c r="M200" s="262"/>
      <c r="N200" s="262">
        <v>4842129</v>
      </c>
      <c r="O200" s="262"/>
      <c r="P200" s="262"/>
      <c r="Q200" s="262">
        <f t="shared" si="6"/>
        <v>4842129</v>
      </c>
      <c r="R200" s="382" t="s">
        <v>734</v>
      </c>
      <c r="S200" s="382"/>
      <c r="T200" s="372">
        <v>41639</v>
      </c>
      <c r="U200" s="200"/>
      <c r="V200" s="200"/>
      <c r="W200" s="200"/>
      <c r="X200" s="200"/>
      <c r="Y200" s="200"/>
      <c r="Z200" s="200"/>
    </row>
    <row r="201" spans="1:26" s="201" customFormat="1" ht="42" customHeight="1">
      <c r="A201" s="455"/>
      <c r="B201" s="473"/>
      <c r="C201" s="199">
        <v>0</v>
      </c>
      <c r="D201" s="500"/>
      <c r="E201" s="271" t="s">
        <v>201</v>
      </c>
      <c r="F201" s="258" t="s">
        <v>538</v>
      </c>
      <c r="G201" s="262"/>
      <c r="H201" s="269"/>
      <c r="I201" s="262"/>
      <c r="J201" s="268">
        <v>0</v>
      </c>
      <c r="K201" s="262"/>
      <c r="L201" s="262">
        <f t="shared" si="7"/>
        <v>4800000</v>
      </c>
      <c r="M201" s="262"/>
      <c r="N201" s="262">
        <v>4800000</v>
      </c>
      <c r="O201" s="262"/>
      <c r="P201" s="262"/>
      <c r="Q201" s="262">
        <f t="shared" si="6"/>
        <v>4800000</v>
      </c>
      <c r="R201" s="382" t="s">
        <v>734</v>
      </c>
      <c r="S201" s="382"/>
      <c r="T201" s="372">
        <v>41639</v>
      </c>
      <c r="U201" s="200"/>
      <c r="V201" s="200"/>
      <c r="W201" s="200"/>
      <c r="X201" s="200"/>
      <c r="Y201" s="200"/>
      <c r="Z201" s="200"/>
    </row>
    <row r="202" spans="1:26" s="11" customFormat="1" ht="19.5" customHeight="1">
      <c r="A202" s="456"/>
      <c r="B202" s="474"/>
      <c r="C202" s="119">
        <f>SUM(C193:C201)</f>
        <v>100</v>
      </c>
      <c r="D202" s="501"/>
      <c r="E202" s="299" t="s">
        <v>342</v>
      </c>
      <c r="F202" s="258"/>
      <c r="G202" s="262"/>
      <c r="H202" s="269"/>
      <c r="I202" s="262"/>
      <c r="J202" s="268"/>
      <c r="K202" s="262"/>
      <c r="L202" s="262">
        <f t="shared" si="7"/>
        <v>0</v>
      </c>
      <c r="M202" s="262"/>
      <c r="N202" s="262"/>
      <c r="O202" s="262"/>
      <c r="P202" s="262"/>
      <c r="Q202" s="262">
        <f t="shared" si="6"/>
        <v>0</v>
      </c>
      <c r="R202" s="108"/>
      <c r="S202" s="120"/>
      <c r="T202" s="372">
        <v>41639</v>
      </c>
      <c r="U202" s="121"/>
      <c r="V202" s="121"/>
      <c r="W202" s="121"/>
      <c r="X202" s="121"/>
      <c r="Y202" s="121"/>
      <c r="Z202" s="121"/>
    </row>
    <row r="203" spans="1:26" s="11" customFormat="1" ht="50.25" customHeight="1">
      <c r="A203" s="466">
        <v>10</v>
      </c>
      <c r="B203" s="476" t="s">
        <v>612</v>
      </c>
      <c r="C203" s="119"/>
      <c r="D203" s="502" t="s">
        <v>69</v>
      </c>
      <c r="E203" s="503"/>
      <c r="F203" s="192"/>
      <c r="G203" s="193"/>
      <c r="H203" s="194"/>
      <c r="I203" s="193"/>
      <c r="J203" s="195"/>
      <c r="K203" s="193"/>
      <c r="L203" s="193">
        <f t="shared" si="7"/>
        <v>0</v>
      </c>
      <c r="M203" s="193"/>
      <c r="N203" s="193"/>
      <c r="O203" s="193"/>
      <c r="P203" s="193"/>
      <c r="Q203" s="193">
        <f t="shared" si="6"/>
        <v>0</v>
      </c>
      <c r="R203" s="108"/>
      <c r="S203" s="120"/>
      <c r="T203" s="372">
        <v>41639</v>
      </c>
      <c r="U203" s="121"/>
      <c r="V203" s="121"/>
      <c r="W203" s="121"/>
      <c r="X203" s="121"/>
      <c r="Y203" s="121"/>
      <c r="Z203" s="121"/>
    </row>
    <row r="204" spans="1:26" s="197" customFormat="1" ht="36" customHeight="1">
      <c r="A204" s="467"/>
      <c r="B204" s="477"/>
      <c r="C204" s="190">
        <v>30</v>
      </c>
      <c r="D204" s="601" t="s">
        <v>292</v>
      </c>
      <c r="E204" s="191" t="s">
        <v>203</v>
      </c>
      <c r="F204" s="192" t="s">
        <v>539</v>
      </c>
      <c r="G204" s="193"/>
      <c r="H204" s="194"/>
      <c r="I204" s="193"/>
      <c r="J204" s="195">
        <v>1</v>
      </c>
      <c r="K204" s="193"/>
      <c r="L204" s="193">
        <f t="shared" si="7"/>
        <v>0</v>
      </c>
      <c r="M204" s="193"/>
      <c r="N204" s="193"/>
      <c r="O204" s="193"/>
      <c r="P204" s="193"/>
      <c r="Q204" s="193">
        <f t="shared" si="6"/>
        <v>0</v>
      </c>
      <c r="R204" s="194"/>
      <c r="S204" s="194"/>
      <c r="T204" s="372">
        <v>41639</v>
      </c>
      <c r="U204" s="196"/>
      <c r="V204" s="196"/>
      <c r="W204" s="196"/>
      <c r="X204" s="196"/>
      <c r="Y204" s="196"/>
      <c r="Z204" s="196"/>
    </row>
    <row r="205" spans="1:26" s="197" customFormat="1" ht="36">
      <c r="A205" s="467"/>
      <c r="B205" s="477"/>
      <c r="C205" s="190">
        <v>0</v>
      </c>
      <c r="D205" s="602"/>
      <c r="E205" s="191" t="s">
        <v>204</v>
      </c>
      <c r="F205" s="192" t="s">
        <v>540</v>
      </c>
      <c r="G205" s="193"/>
      <c r="H205" s="194"/>
      <c r="I205" s="193"/>
      <c r="J205" s="195">
        <v>0</v>
      </c>
      <c r="K205" s="193"/>
      <c r="L205" s="193">
        <f t="shared" si="7"/>
        <v>0</v>
      </c>
      <c r="M205" s="193"/>
      <c r="N205" s="193"/>
      <c r="O205" s="193"/>
      <c r="P205" s="193"/>
      <c r="Q205" s="193">
        <f t="shared" si="6"/>
        <v>0</v>
      </c>
      <c r="R205" s="194"/>
      <c r="S205" s="194"/>
      <c r="T205" s="372">
        <v>41639</v>
      </c>
      <c r="U205" s="196"/>
      <c r="V205" s="196"/>
      <c r="W205" s="196"/>
      <c r="X205" s="196"/>
      <c r="Y205" s="196"/>
      <c r="Z205" s="196"/>
    </row>
    <row r="206" spans="1:26" s="197" customFormat="1" ht="72">
      <c r="A206" s="467"/>
      <c r="B206" s="477"/>
      <c r="C206" s="190">
        <v>20</v>
      </c>
      <c r="D206" s="602"/>
      <c r="E206" s="191" t="s">
        <v>205</v>
      </c>
      <c r="F206" s="192" t="s">
        <v>541</v>
      </c>
      <c r="G206" s="193"/>
      <c r="H206" s="194" t="s">
        <v>658</v>
      </c>
      <c r="I206" s="193"/>
      <c r="J206" s="195">
        <v>1</v>
      </c>
      <c r="K206" s="193"/>
      <c r="L206" s="193">
        <f t="shared" si="7"/>
        <v>0</v>
      </c>
      <c r="M206" s="193"/>
      <c r="N206" s="193"/>
      <c r="O206" s="193"/>
      <c r="P206" s="193"/>
      <c r="Q206" s="193">
        <f t="shared" si="6"/>
        <v>0</v>
      </c>
      <c r="R206" s="194"/>
      <c r="S206" s="194"/>
      <c r="T206" s="372">
        <v>41639</v>
      </c>
      <c r="U206" s="196"/>
      <c r="V206" s="196"/>
      <c r="W206" s="196"/>
      <c r="X206" s="196"/>
      <c r="Y206" s="196"/>
      <c r="Z206" s="196"/>
    </row>
    <row r="207" spans="1:26" s="197" customFormat="1" ht="48">
      <c r="A207" s="467"/>
      <c r="B207" s="477"/>
      <c r="C207" s="190">
        <v>0</v>
      </c>
      <c r="D207" s="602"/>
      <c r="E207" s="191" t="s">
        <v>206</v>
      </c>
      <c r="F207" s="192" t="s">
        <v>542</v>
      </c>
      <c r="G207" s="193"/>
      <c r="H207" s="194" t="s">
        <v>658</v>
      </c>
      <c r="I207" s="193"/>
      <c r="J207" s="195">
        <v>0</v>
      </c>
      <c r="K207" s="193"/>
      <c r="L207" s="193">
        <f t="shared" si="7"/>
        <v>0</v>
      </c>
      <c r="M207" s="193"/>
      <c r="N207" s="193"/>
      <c r="O207" s="193"/>
      <c r="P207" s="193"/>
      <c r="Q207" s="193">
        <f t="shared" si="6"/>
        <v>0</v>
      </c>
      <c r="R207" s="194"/>
      <c r="S207" s="194"/>
      <c r="T207" s="372">
        <v>41639</v>
      </c>
      <c r="U207" s="196"/>
      <c r="V207" s="196"/>
      <c r="W207" s="196"/>
      <c r="X207" s="196"/>
      <c r="Y207" s="196"/>
      <c r="Z207" s="196"/>
    </row>
    <row r="208" spans="1:26" s="197" customFormat="1" ht="60">
      <c r="A208" s="467"/>
      <c r="B208" s="477"/>
      <c r="C208" s="190">
        <v>0</v>
      </c>
      <c r="D208" s="602"/>
      <c r="E208" s="191" t="s">
        <v>364</v>
      </c>
      <c r="F208" s="192" t="s">
        <v>543</v>
      </c>
      <c r="G208" s="193"/>
      <c r="H208" s="194"/>
      <c r="I208" s="193"/>
      <c r="J208" s="195">
        <v>0</v>
      </c>
      <c r="K208" s="193"/>
      <c r="L208" s="193">
        <f t="shared" si="7"/>
        <v>0</v>
      </c>
      <c r="M208" s="193"/>
      <c r="N208" s="193"/>
      <c r="O208" s="193"/>
      <c r="P208" s="193"/>
      <c r="Q208" s="193">
        <f t="shared" si="6"/>
        <v>0</v>
      </c>
      <c r="R208" s="194"/>
      <c r="S208" s="194"/>
      <c r="T208" s="372">
        <v>41639</v>
      </c>
      <c r="U208" s="196"/>
      <c r="V208" s="196"/>
      <c r="W208" s="196"/>
      <c r="X208" s="196"/>
      <c r="Y208" s="196"/>
      <c r="Z208" s="196"/>
    </row>
    <row r="209" spans="1:26" s="197" customFormat="1" ht="60" customHeight="1">
      <c r="A209" s="467"/>
      <c r="B209" s="477"/>
      <c r="C209" s="190">
        <v>30</v>
      </c>
      <c r="D209" s="602"/>
      <c r="E209" s="191" t="s">
        <v>207</v>
      </c>
      <c r="F209" s="192" t="s">
        <v>635</v>
      </c>
      <c r="G209" s="193"/>
      <c r="H209" s="194"/>
      <c r="I209" s="193"/>
      <c r="J209" s="198">
        <v>0.25</v>
      </c>
      <c r="K209" s="193"/>
      <c r="L209" s="193">
        <f t="shared" si="7"/>
        <v>34677964</v>
      </c>
      <c r="M209" s="193"/>
      <c r="N209" s="193">
        <f>9677964+25000000</f>
        <v>34677964</v>
      </c>
      <c r="O209" s="193"/>
      <c r="P209" s="193"/>
      <c r="Q209" s="193">
        <f t="shared" si="6"/>
        <v>34677964</v>
      </c>
      <c r="R209" s="194" t="s">
        <v>769</v>
      </c>
      <c r="S209" s="194"/>
      <c r="T209" s="372">
        <v>41639</v>
      </c>
      <c r="U209" s="196"/>
      <c r="V209" s="196"/>
      <c r="W209" s="196"/>
      <c r="X209" s="196"/>
      <c r="Y209" s="196"/>
      <c r="Z209" s="196"/>
    </row>
    <row r="210" spans="1:26" s="197" customFormat="1" ht="60">
      <c r="A210" s="467"/>
      <c r="B210" s="477"/>
      <c r="C210" s="190">
        <v>0</v>
      </c>
      <c r="D210" s="602"/>
      <c r="E210" s="191" t="s">
        <v>208</v>
      </c>
      <c r="F210" s="192" t="s">
        <v>544</v>
      </c>
      <c r="G210" s="193"/>
      <c r="H210" s="194"/>
      <c r="I210" s="193"/>
      <c r="J210" s="195">
        <v>0</v>
      </c>
      <c r="K210" s="193"/>
      <c r="L210" s="193">
        <f t="shared" si="7"/>
        <v>0</v>
      </c>
      <c r="M210" s="193"/>
      <c r="N210" s="193"/>
      <c r="O210" s="193"/>
      <c r="P210" s="193"/>
      <c r="Q210" s="193">
        <f t="shared" si="6"/>
        <v>0</v>
      </c>
      <c r="R210" s="194"/>
      <c r="S210" s="194"/>
      <c r="T210" s="372">
        <v>41639</v>
      </c>
      <c r="U210" s="196"/>
      <c r="V210" s="196"/>
      <c r="W210" s="196"/>
      <c r="X210" s="196"/>
      <c r="Y210" s="196"/>
      <c r="Z210" s="196"/>
    </row>
    <row r="211" spans="1:26" s="197" customFormat="1" ht="48">
      <c r="A211" s="467"/>
      <c r="B211" s="477"/>
      <c r="C211" s="190">
        <v>20</v>
      </c>
      <c r="D211" s="602"/>
      <c r="E211" s="191" t="s">
        <v>202</v>
      </c>
      <c r="F211" s="192" t="s">
        <v>545</v>
      </c>
      <c r="G211" s="193"/>
      <c r="H211" s="194"/>
      <c r="I211" s="193"/>
      <c r="J211" s="195">
        <v>2</v>
      </c>
      <c r="K211" s="193"/>
      <c r="L211" s="193">
        <f t="shared" si="7"/>
        <v>2900000</v>
      </c>
      <c r="M211" s="193"/>
      <c r="N211" s="193">
        <v>2900000</v>
      </c>
      <c r="O211" s="193"/>
      <c r="P211" s="193"/>
      <c r="Q211" s="193">
        <f t="shared" si="6"/>
        <v>2900000</v>
      </c>
      <c r="R211" s="194" t="s">
        <v>770</v>
      </c>
      <c r="S211" s="194"/>
      <c r="T211" s="372">
        <v>41639</v>
      </c>
      <c r="U211" s="196"/>
      <c r="V211" s="196"/>
      <c r="W211" s="196"/>
      <c r="X211" s="196"/>
      <c r="Y211" s="196"/>
      <c r="Z211" s="196"/>
    </row>
    <row r="212" spans="1:26" s="11" customFormat="1" ht="15">
      <c r="A212" s="467"/>
      <c r="B212" s="477"/>
      <c r="C212" s="119">
        <f>SUM(C204:C211)</f>
        <v>100</v>
      </c>
      <c r="D212" s="603"/>
      <c r="E212" s="281" t="s">
        <v>342</v>
      </c>
      <c r="F212" s="192"/>
      <c r="G212" s="193"/>
      <c r="H212" s="194"/>
      <c r="I212" s="193"/>
      <c r="J212" s="195"/>
      <c r="K212" s="193"/>
      <c r="L212" s="193">
        <f t="shared" si="7"/>
        <v>0</v>
      </c>
      <c r="M212" s="193"/>
      <c r="N212" s="193"/>
      <c r="O212" s="193"/>
      <c r="P212" s="193"/>
      <c r="Q212" s="193">
        <f t="shared" si="6"/>
        <v>0</v>
      </c>
      <c r="R212" s="108"/>
      <c r="S212" s="120"/>
      <c r="T212" s="372">
        <v>41639</v>
      </c>
      <c r="U212" s="121"/>
      <c r="V212" s="121"/>
      <c r="W212" s="121"/>
      <c r="X212" s="121"/>
      <c r="Y212" s="121"/>
      <c r="Z212" s="121"/>
    </row>
    <row r="213" spans="1:26" s="11" customFormat="1" ht="15">
      <c r="A213" s="467"/>
      <c r="B213" s="477"/>
      <c r="C213" s="119"/>
      <c r="D213" s="394" t="s">
        <v>70</v>
      </c>
      <c r="E213" s="395"/>
      <c r="F213" s="110"/>
      <c r="G213" s="113"/>
      <c r="H213" s="120"/>
      <c r="I213" s="113"/>
      <c r="J213" s="144"/>
      <c r="K213" s="113"/>
      <c r="L213" s="152">
        <f t="shared" si="7"/>
        <v>0</v>
      </c>
      <c r="M213" s="113"/>
      <c r="N213" s="113"/>
      <c r="O213" s="113"/>
      <c r="P213" s="113"/>
      <c r="Q213" s="152">
        <f t="shared" si="6"/>
        <v>0</v>
      </c>
      <c r="R213" s="108"/>
      <c r="S213" s="120"/>
      <c r="T213" s="372">
        <v>41639</v>
      </c>
      <c r="U213" s="121"/>
      <c r="V213" s="121"/>
      <c r="W213" s="121"/>
      <c r="X213" s="121"/>
      <c r="Y213" s="121"/>
      <c r="Z213" s="121"/>
    </row>
    <row r="214" spans="1:26" s="41" customFormat="1" ht="96">
      <c r="A214" s="467"/>
      <c r="B214" s="477"/>
      <c r="C214" s="115">
        <v>0</v>
      </c>
      <c r="D214" s="406" t="s">
        <v>209</v>
      </c>
      <c r="E214" s="330" t="s">
        <v>210</v>
      </c>
      <c r="F214" s="331" t="s">
        <v>546</v>
      </c>
      <c r="G214" s="332"/>
      <c r="H214" s="333"/>
      <c r="I214" s="332"/>
      <c r="J214" s="334">
        <v>0.44</v>
      </c>
      <c r="K214" s="332"/>
      <c r="L214" s="332">
        <f t="shared" si="7"/>
        <v>6000000</v>
      </c>
      <c r="M214" s="332"/>
      <c r="N214" s="332">
        <v>6000000</v>
      </c>
      <c r="O214" s="332"/>
      <c r="P214" s="332"/>
      <c r="Q214" s="332">
        <f t="shared" si="6"/>
        <v>6000000</v>
      </c>
      <c r="R214" s="108" t="s">
        <v>771</v>
      </c>
      <c r="S214" s="108"/>
      <c r="T214" s="372">
        <v>41639</v>
      </c>
      <c r="U214" s="114"/>
      <c r="V214" s="114"/>
      <c r="W214" s="114"/>
      <c r="X214" s="114"/>
      <c r="Y214" s="114"/>
      <c r="Z214" s="114"/>
    </row>
    <row r="215" spans="1:26" s="41" customFormat="1" ht="66.75" customHeight="1">
      <c r="A215" s="467"/>
      <c r="B215" s="477"/>
      <c r="C215" s="115">
        <v>100</v>
      </c>
      <c r="D215" s="408"/>
      <c r="E215" s="45" t="s">
        <v>365</v>
      </c>
      <c r="F215" s="110" t="s">
        <v>547</v>
      </c>
      <c r="G215" s="112"/>
      <c r="H215" s="108"/>
      <c r="I215" s="112"/>
      <c r="J215" s="141"/>
      <c r="K215" s="112"/>
      <c r="L215" s="152">
        <f t="shared" si="7"/>
        <v>0</v>
      </c>
      <c r="M215" s="112"/>
      <c r="N215" s="112"/>
      <c r="O215" s="112"/>
      <c r="P215" s="112"/>
      <c r="Q215" s="152">
        <f t="shared" si="6"/>
        <v>0</v>
      </c>
      <c r="R215" s="108"/>
      <c r="S215" s="108"/>
      <c r="T215" s="372">
        <v>41639</v>
      </c>
      <c r="U215" s="114"/>
      <c r="V215" s="114"/>
      <c r="W215" s="114"/>
      <c r="X215" s="114"/>
      <c r="Y215" s="114"/>
      <c r="Z215" s="114"/>
    </row>
    <row r="216" spans="1:26" s="11" customFormat="1" ht="15">
      <c r="A216" s="467"/>
      <c r="B216" s="477"/>
      <c r="C216" s="119">
        <f>SUM(C214:C215)</f>
        <v>100</v>
      </c>
      <c r="D216" s="407"/>
      <c r="E216" s="31" t="s">
        <v>342</v>
      </c>
      <c r="F216" s="110"/>
      <c r="G216" s="113"/>
      <c r="H216" s="120"/>
      <c r="I216" s="113"/>
      <c r="J216" s="144"/>
      <c r="K216" s="113"/>
      <c r="L216" s="152">
        <f t="shared" si="7"/>
        <v>0</v>
      </c>
      <c r="M216" s="113"/>
      <c r="N216" s="113"/>
      <c r="O216" s="113"/>
      <c r="P216" s="113"/>
      <c r="Q216" s="152">
        <f t="shared" si="6"/>
        <v>0</v>
      </c>
      <c r="R216" s="108"/>
      <c r="S216" s="120"/>
      <c r="T216" s="372">
        <v>41639</v>
      </c>
      <c r="U216" s="121"/>
      <c r="V216" s="121"/>
      <c r="W216" s="121"/>
      <c r="X216" s="121"/>
      <c r="Y216" s="121"/>
      <c r="Z216" s="121"/>
    </row>
    <row r="217" spans="1:26" s="11" customFormat="1" ht="15">
      <c r="A217" s="467"/>
      <c r="B217" s="477"/>
      <c r="C217" s="119"/>
      <c r="D217" s="485" t="s">
        <v>293</v>
      </c>
      <c r="E217" s="486"/>
      <c r="F217" s="320"/>
      <c r="G217" s="279"/>
      <c r="H217" s="321"/>
      <c r="I217" s="279"/>
      <c r="J217" s="322"/>
      <c r="K217" s="279"/>
      <c r="L217" s="279">
        <f t="shared" si="7"/>
        <v>0</v>
      </c>
      <c r="M217" s="279"/>
      <c r="N217" s="279"/>
      <c r="O217" s="279"/>
      <c r="P217" s="279"/>
      <c r="Q217" s="279">
        <f t="shared" si="6"/>
        <v>0</v>
      </c>
      <c r="R217" s="108"/>
      <c r="S217" s="120"/>
      <c r="T217" s="372">
        <v>41639</v>
      </c>
      <c r="U217" s="121"/>
      <c r="V217" s="121"/>
      <c r="W217" s="121"/>
      <c r="X217" s="121"/>
      <c r="Y217" s="121"/>
      <c r="Z217" s="121"/>
    </row>
    <row r="218" spans="1:26" s="41" customFormat="1" ht="48">
      <c r="A218" s="467"/>
      <c r="B218" s="477"/>
      <c r="C218" s="115">
        <v>0</v>
      </c>
      <c r="D218" s="510" t="s">
        <v>294</v>
      </c>
      <c r="E218" s="323" t="s">
        <v>296</v>
      </c>
      <c r="F218" s="320" t="s">
        <v>548</v>
      </c>
      <c r="G218" s="279"/>
      <c r="H218" s="321"/>
      <c r="I218" s="279"/>
      <c r="J218" s="322">
        <v>0</v>
      </c>
      <c r="K218" s="279"/>
      <c r="L218" s="279">
        <f t="shared" si="7"/>
        <v>2000000</v>
      </c>
      <c r="M218" s="279"/>
      <c r="N218" s="279">
        <v>2000000</v>
      </c>
      <c r="O218" s="279"/>
      <c r="P218" s="279"/>
      <c r="Q218" s="279">
        <f t="shared" si="6"/>
        <v>2000000</v>
      </c>
      <c r="R218" s="108" t="s">
        <v>772</v>
      </c>
      <c r="S218" s="108"/>
      <c r="T218" s="372">
        <v>41639</v>
      </c>
      <c r="U218" s="114"/>
      <c r="V218" s="114"/>
      <c r="W218" s="114"/>
      <c r="X218" s="114"/>
      <c r="Y218" s="114"/>
      <c r="Z218" s="114"/>
    </row>
    <row r="219" spans="1:26" s="41" customFormat="1" ht="36">
      <c r="A219" s="467"/>
      <c r="B219" s="477"/>
      <c r="C219" s="115">
        <v>0</v>
      </c>
      <c r="D219" s="511"/>
      <c r="E219" s="323" t="s">
        <v>295</v>
      </c>
      <c r="F219" s="320" t="s">
        <v>549</v>
      </c>
      <c r="G219" s="279"/>
      <c r="H219" s="321"/>
      <c r="I219" s="279"/>
      <c r="J219" s="322">
        <v>0</v>
      </c>
      <c r="K219" s="279"/>
      <c r="L219" s="279">
        <f t="shared" si="7"/>
        <v>1500000</v>
      </c>
      <c r="M219" s="279"/>
      <c r="N219" s="279">
        <v>1500000</v>
      </c>
      <c r="O219" s="279"/>
      <c r="P219" s="279"/>
      <c r="Q219" s="279">
        <f t="shared" si="6"/>
        <v>1500000</v>
      </c>
      <c r="R219" s="108"/>
      <c r="S219" s="108"/>
      <c r="T219" s="372">
        <v>41639</v>
      </c>
      <c r="U219" s="114"/>
      <c r="V219" s="114"/>
      <c r="W219" s="114"/>
      <c r="X219" s="114"/>
      <c r="Y219" s="114"/>
      <c r="Z219" s="114"/>
    </row>
    <row r="220" spans="1:26" s="11" customFormat="1" ht="15">
      <c r="A220" s="468"/>
      <c r="B220" s="478"/>
      <c r="C220" s="119"/>
      <c r="D220" s="512"/>
      <c r="E220" s="324" t="s">
        <v>342</v>
      </c>
      <c r="F220" s="320"/>
      <c r="G220" s="279"/>
      <c r="H220" s="321"/>
      <c r="I220" s="279"/>
      <c r="J220" s="322"/>
      <c r="K220" s="279"/>
      <c r="L220" s="279">
        <f t="shared" si="7"/>
        <v>0</v>
      </c>
      <c r="M220" s="279"/>
      <c r="N220" s="279"/>
      <c r="O220" s="279"/>
      <c r="P220" s="279"/>
      <c r="Q220" s="279">
        <f t="shared" si="6"/>
        <v>0</v>
      </c>
      <c r="R220" s="108"/>
      <c r="S220" s="120"/>
      <c r="T220" s="372">
        <v>41639</v>
      </c>
      <c r="U220" s="121"/>
      <c r="V220" s="121"/>
      <c r="W220" s="121"/>
      <c r="X220" s="121"/>
      <c r="Y220" s="121"/>
      <c r="Z220" s="121"/>
    </row>
    <row r="221" spans="1:26" s="165" customFormat="1" ht="15">
      <c r="A221" s="466">
        <v>10</v>
      </c>
      <c r="B221" s="469" t="s">
        <v>613</v>
      </c>
      <c r="C221" s="159"/>
      <c r="D221" s="609" t="s">
        <v>71</v>
      </c>
      <c r="E221" s="610"/>
      <c r="F221" s="340"/>
      <c r="G221" s="341"/>
      <c r="H221" s="342"/>
      <c r="I221" s="341"/>
      <c r="J221" s="343"/>
      <c r="K221" s="341"/>
      <c r="L221" s="341">
        <f t="shared" si="7"/>
        <v>0</v>
      </c>
      <c r="M221" s="341"/>
      <c r="N221" s="341"/>
      <c r="O221" s="341"/>
      <c r="P221" s="341"/>
      <c r="Q221" s="341">
        <f t="shared" si="6"/>
        <v>0</v>
      </c>
      <c r="R221" s="162"/>
      <c r="S221" s="162"/>
      <c r="T221" s="372">
        <v>41639</v>
      </c>
      <c r="U221" s="164"/>
      <c r="V221" s="164"/>
      <c r="W221" s="164"/>
      <c r="X221" s="164"/>
      <c r="Y221" s="164"/>
      <c r="Z221" s="164"/>
    </row>
    <row r="222" spans="1:26" s="165" customFormat="1" ht="52.5" customHeight="1">
      <c r="A222" s="467"/>
      <c r="B222" s="470"/>
      <c r="C222" s="159">
        <v>50</v>
      </c>
      <c r="D222" s="598" t="s">
        <v>211</v>
      </c>
      <c r="E222" s="344" t="s">
        <v>212</v>
      </c>
      <c r="F222" s="340" t="s">
        <v>550</v>
      </c>
      <c r="G222" s="341"/>
      <c r="H222" s="342" t="s">
        <v>683</v>
      </c>
      <c r="I222" s="341" t="s">
        <v>629</v>
      </c>
      <c r="J222" s="343">
        <v>192</v>
      </c>
      <c r="K222" s="341"/>
      <c r="L222" s="341">
        <f t="shared" si="7"/>
        <v>4000000</v>
      </c>
      <c r="M222" s="341"/>
      <c r="N222" s="341">
        <v>4000000</v>
      </c>
      <c r="O222" s="341"/>
      <c r="P222" s="341"/>
      <c r="Q222" s="341">
        <f t="shared" si="6"/>
        <v>4000000</v>
      </c>
      <c r="R222" s="162"/>
      <c r="S222" s="162"/>
      <c r="T222" s="372">
        <v>41639</v>
      </c>
      <c r="U222" s="164"/>
      <c r="V222" s="164"/>
      <c r="W222" s="164"/>
      <c r="X222" s="164"/>
      <c r="Y222" s="164"/>
      <c r="Z222" s="164"/>
    </row>
    <row r="223" spans="1:26" s="165" customFormat="1" ht="48.75">
      <c r="A223" s="467"/>
      <c r="B223" s="470"/>
      <c r="C223" s="159">
        <v>0</v>
      </c>
      <c r="D223" s="599"/>
      <c r="E223" s="344" t="s">
        <v>213</v>
      </c>
      <c r="F223" s="340" t="s">
        <v>551</v>
      </c>
      <c r="G223" s="341"/>
      <c r="H223" s="342"/>
      <c r="I223" s="341"/>
      <c r="J223" s="343">
        <v>0</v>
      </c>
      <c r="K223" s="341"/>
      <c r="L223" s="341">
        <f t="shared" si="7"/>
        <v>0</v>
      </c>
      <c r="M223" s="341"/>
      <c r="N223" s="341"/>
      <c r="O223" s="341"/>
      <c r="P223" s="341"/>
      <c r="Q223" s="341">
        <f t="shared" si="6"/>
        <v>0</v>
      </c>
      <c r="R223" s="162"/>
      <c r="S223" s="162"/>
      <c r="T223" s="372">
        <v>41639</v>
      </c>
      <c r="U223" s="164"/>
      <c r="V223" s="164"/>
      <c r="W223" s="164"/>
      <c r="X223" s="164"/>
      <c r="Y223" s="164"/>
      <c r="Z223" s="164"/>
    </row>
    <row r="224" spans="1:26" s="165" customFormat="1" ht="108">
      <c r="A224" s="467"/>
      <c r="B224" s="470"/>
      <c r="C224" s="159">
        <v>30</v>
      </c>
      <c r="D224" s="599"/>
      <c r="E224" s="344" t="s">
        <v>297</v>
      </c>
      <c r="F224" s="340" t="s">
        <v>552</v>
      </c>
      <c r="G224" s="341"/>
      <c r="H224" s="345" t="s">
        <v>643</v>
      </c>
      <c r="I224" s="346" t="s">
        <v>552</v>
      </c>
      <c r="J224" s="343">
        <v>2</v>
      </c>
      <c r="K224" s="341">
        <v>6500000</v>
      </c>
      <c r="L224" s="341">
        <f t="shared" si="7"/>
        <v>4000000</v>
      </c>
      <c r="M224" s="341"/>
      <c r="N224" s="341">
        <v>4000000</v>
      </c>
      <c r="O224" s="341"/>
      <c r="P224" s="341"/>
      <c r="Q224" s="341">
        <f t="shared" si="6"/>
        <v>4000000</v>
      </c>
      <c r="R224" s="162" t="s">
        <v>739</v>
      </c>
      <c r="S224" s="162" t="s">
        <v>625</v>
      </c>
      <c r="T224" s="372">
        <v>41639</v>
      </c>
      <c r="U224" s="164"/>
      <c r="V224" s="164"/>
      <c r="W224" s="164"/>
      <c r="X224" s="164"/>
      <c r="Y224" s="164"/>
      <c r="Z224" s="164"/>
    </row>
    <row r="225" spans="1:26" s="165" customFormat="1" ht="36.75">
      <c r="A225" s="467"/>
      <c r="B225" s="470"/>
      <c r="C225" s="159">
        <v>10</v>
      </c>
      <c r="D225" s="599"/>
      <c r="E225" s="344" t="s">
        <v>214</v>
      </c>
      <c r="F225" s="340" t="s">
        <v>553</v>
      </c>
      <c r="G225" s="341"/>
      <c r="H225" s="342"/>
      <c r="I225" s="341"/>
      <c r="J225" s="343">
        <v>1</v>
      </c>
      <c r="K225" s="341"/>
      <c r="L225" s="341">
        <f t="shared" si="7"/>
        <v>0</v>
      </c>
      <c r="M225" s="341"/>
      <c r="N225" s="341"/>
      <c r="O225" s="347"/>
      <c r="P225" s="341"/>
      <c r="Q225" s="341">
        <f t="shared" si="6"/>
        <v>0</v>
      </c>
      <c r="R225" s="162"/>
      <c r="S225" s="162" t="s">
        <v>625</v>
      </c>
      <c r="T225" s="372">
        <v>41639</v>
      </c>
      <c r="U225" s="164"/>
      <c r="V225" s="164"/>
      <c r="W225" s="164"/>
      <c r="X225" s="164"/>
      <c r="Y225" s="164"/>
      <c r="Z225" s="164"/>
    </row>
    <row r="226" spans="1:26" s="165" customFormat="1" ht="36.75">
      <c r="A226" s="467"/>
      <c r="B226" s="470"/>
      <c r="C226" s="159">
        <v>10</v>
      </c>
      <c r="D226" s="599"/>
      <c r="E226" s="344" t="s">
        <v>298</v>
      </c>
      <c r="F226" s="340" t="s">
        <v>554</v>
      </c>
      <c r="G226" s="341"/>
      <c r="H226" s="342"/>
      <c r="I226" s="341"/>
      <c r="J226" s="343">
        <v>10</v>
      </c>
      <c r="K226" s="341"/>
      <c r="L226" s="341">
        <f t="shared" si="7"/>
        <v>0</v>
      </c>
      <c r="M226" s="341"/>
      <c r="N226" s="341"/>
      <c r="O226" s="341"/>
      <c r="P226" s="341"/>
      <c r="Q226" s="341">
        <f t="shared" si="6"/>
        <v>0</v>
      </c>
      <c r="R226" s="162"/>
      <c r="S226" s="162" t="s">
        <v>625</v>
      </c>
      <c r="T226" s="372">
        <v>41639</v>
      </c>
      <c r="U226" s="164"/>
      <c r="V226" s="164"/>
      <c r="W226" s="164"/>
      <c r="X226" s="164"/>
      <c r="Y226" s="164"/>
      <c r="Z226" s="164"/>
    </row>
    <row r="227" spans="1:26" s="165" customFormat="1" ht="36.75">
      <c r="A227" s="467"/>
      <c r="B227" s="470"/>
      <c r="C227" s="159">
        <v>0</v>
      </c>
      <c r="D227" s="599"/>
      <c r="E227" s="344" t="s">
        <v>299</v>
      </c>
      <c r="F227" s="340" t="s">
        <v>555</v>
      </c>
      <c r="G227" s="341"/>
      <c r="H227" s="342"/>
      <c r="I227" s="341"/>
      <c r="J227" s="348">
        <v>0</v>
      </c>
      <c r="K227" s="341"/>
      <c r="L227" s="341">
        <f t="shared" si="7"/>
        <v>1500000</v>
      </c>
      <c r="M227" s="341"/>
      <c r="N227" s="341">
        <v>1000000</v>
      </c>
      <c r="O227" s="341"/>
      <c r="P227" s="341">
        <v>500000</v>
      </c>
      <c r="Q227" s="341">
        <f t="shared" si="6"/>
        <v>1500000</v>
      </c>
      <c r="R227" s="162"/>
      <c r="S227" s="162"/>
      <c r="T227" s="372">
        <v>41639</v>
      </c>
      <c r="U227" s="164"/>
      <c r="V227" s="164"/>
      <c r="W227" s="164"/>
      <c r="X227" s="164"/>
      <c r="Y227" s="164"/>
      <c r="Z227" s="164"/>
    </row>
    <row r="228" spans="1:26" s="165" customFormat="1" ht="15">
      <c r="A228" s="467"/>
      <c r="B228" s="470"/>
      <c r="C228" s="159">
        <f>SUM(C222:C227)</f>
        <v>100</v>
      </c>
      <c r="D228" s="600"/>
      <c r="E228" s="349" t="s">
        <v>342</v>
      </c>
      <c r="F228" s="340"/>
      <c r="G228" s="341"/>
      <c r="H228" s="342"/>
      <c r="I228" s="341"/>
      <c r="J228" s="343"/>
      <c r="K228" s="341"/>
      <c r="L228" s="341">
        <f t="shared" si="7"/>
        <v>0</v>
      </c>
      <c r="M228" s="341"/>
      <c r="N228" s="341"/>
      <c r="O228" s="341"/>
      <c r="P228" s="341"/>
      <c r="Q228" s="341">
        <f t="shared" si="6"/>
        <v>0</v>
      </c>
      <c r="R228" s="162"/>
      <c r="S228" s="162"/>
      <c r="T228" s="372">
        <v>41639</v>
      </c>
      <c r="U228" s="164"/>
      <c r="V228" s="164"/>
      <c r="W228" s="164"/>
      <c r="X228" s="164"/>
      <c r="Y228" s="164"/>
      <c r="Z228" s="164"/>
    </row>
    <row r="229" spans="1:26" s="165" customFormat="1" ht="60">
      <c r="A229" s="467"/>
      <c r="B229" s="470"/>
      <c r="C229" s="159">
        <v>50</v>
      </c>
      <c r="D229" s="598" t="s">
        <v>344</v>
      </c>
      <c r="E229" s="344" t="s">
        <v>215</v>
      </c>
      <c r="F229" s="340" t="s">
        <v>556</v>
      </c>
      <c r="G229" s="341"/>
      <c r="H229" s="342"/>
      <c r="I229" s="341"/>
      <c r="J229" s="348">
        <v>0.25</v>
      </c>
      <c r="K229" s="341"/>
      <c r="L229" s="341">
        <f t="shared" si="7"/>
        <v>3000000</v>
      </c>
      <c r="M229" s="341"/>
      <c r="N229" s="341">
        <v>3000000</v>
      </c>
      <c r="O229" s="341"/>
      <c r="P229" s="341"/>
      <c r="Q229" s="341">
        <f t="shared" si="6"/>
        <v>3000000</v>
      </c>
      <c r="R229" s="162"/>
      <c r="S229" s="162"/>
      <c r="T229" s="372">
        <v>41639</v>
      </c>
      <c r="U229" s="164"/>
      <c r="V229" s="164"/>
      <c r="W229" s="164"/>
      <c r="X229" s="164"/>
      <c r="Y229" s="164"/>
      <c r="Z229" s="164"/>
    </row>
    <row r="230" spans="1:26" s="165" customFormat="1" ht="72.75">
      <c r="A230" s="467"/>
      <c r="B230" s="470"/>
      <c r="C230" s="159">
        <v>40</v>
      </c>
      <c r="D230" s="599"/>
      <c r="E230" s="344" t="s">
        <v>216</v>
      </c>
      <c r="F230" s="340" t="s">
        <v>557</v>
      </c>
      <c r="G230" s="341"/>
      <c r="H230" s="342"/>
      <c r="I230" s="341"/>
      <c r="J230" s="343">
        <v>24</v>
      </c>
      <c r="K230" s="341"/>
      <c r="L230" s="341">
        <f t="shared" si="7"/>
        <v>3200000</v>
      </c>
      <c r="M230" s="341"/>
      <c r="N230" s="350">
        <v>3200000</v>
      </c>
      <c r="O230" s="341"/>
      <c r="P230" s="341"/>
      <c r="Q230" s="341">
        <f t="shared" si="6"/>
        <v>3200000</v>
      </c>
      <c r="R230" s="162"/>
      <c r="S230" s="162"/>
      <c r="T230" s="372">
        <v>41639</v>
      </c>
      <c r="U230" s="164"/>
      <c r="V230" s="164"/>
      <c r="W230" s="164"/>
      <c r="X230" s="164"/>
      <c r="Y230" s="164"/>
      <c r="Z230" s="164"/>
    </row>
    <row r="231" spans="1:26" s="165" customFormat="1" ht="48.75">
      <c r="A231" s="467"/>
      <c r="B231" s="470"/>
      <c r="C231" s="159">
        <v>10</v>
      </c>
      <c r="D231" s="599"/>
      <c r="E231" s="344" t="s">
        <v>77</v>
      </c>
      <c r="F231" s="340" t="s">
        <v>558</v>
      </c>
      <c r="G231" s="341"/>
      <c r="H231" s="342"/>
      <c r="I231" s="341"/>
      <c r="J231" s="343">
        <v>50</v>
      </c>
      <c r="K231" s="341"/>
      <c r="L231" s="341">
        <f t="shared" si="7"/>
        <v>4000000</v>
      </c>
      <c r="M231" s="341"/>
      <c r="N231" s="341">
        <v>4000000</v>
      </c>
      <c r="O231" s="341"/>
      <c r="P231" s="341"/>
      <c r="Q231" s="341">
        <f t="shared" si="6"/>
        <v>4000000</v>
      </c>
      <c r="R231" s="162"/>
      <c r="S231" s="162" t="s">
        <v>625</v>
      </c>
      <c r="T231" s="372">
        <v>41639</v>
      </c>
      <c r="U231" s="164"/>
      <c r="V231" s="164"/>
      <c r="W231" s="164"/>
      <c r="X231" s="164"/>
      <c r="Y231" s="164"/>
      <c r="Z231" s="164"/>
    </row>
    <row r="232" spans="1:26" s="165" customFormat="1" ht="48.75" customHeight="1">
      <c r="A232" s="467"/>
      <c r="B232" s="470"/>
      <c r="C232" s="159">
        <v>0</v>
      </c>
      <c r="D232" s="599"/>
      <c r="E232" s="344" t="s">
        <v>78</v>
      </c>
      <c r="F232" s="340" t="s">
        <v>559</v>
      </c>
      <c r="G232" s="341"/>
      <c r="H232" s="342"/>
      <c r="I232" s="341"/>
      <c r="J232" s="343">
        <v>0</v>
      </c>
      <c r="K232" s="341"/>
      <c r="L232" s="341">
        <f t="shared" si="7"/>
        <v>0</v>
      </c>
      <c r="M232" s="341"/>
      <c r="N232" s="341"/>
      <c r="O232" s="341"/>
      <c r="P232" s="341"/>
      <c r="Q232" s="341">
        <f t="shared" si="6"/>
        <v>0</v>
      </c>
      <c r="R232" s="162"/>
      <c r="S232" s="162"/>
      <c r="T232" s="372">
        <v>41639</v>
      </c>
      <c r="U232" s="164"/>
      <c r="V232" s="164"/>
      <c r="W232" s="164"/>
      <c r="X232" s="164"/>
      <c r="Y232" s="164"/>
      <c r="Z232" s="164"/>
    </row>
    <row r="233" spans="1:26" s="165" customFormat="1" ht="15">
      <c r="A233" s="467"/>
      <c r="B233" s="470"/>
      <c r="C233" s="159">
        <f>SUM(C229:C232)</f>
        <v>100</v>
      </c>
      <c r="D233" s="600"/>
      <c r="E233" s="349" t="s">
        <v>342</v>
      </c>
      <c r="F233" s="340"/>
      <c r="G233" s="341"/>
      <c r="H233" s="342"/>
      <c r="I233" s="341"/>
      <c r="J233" s="343"/>
      <c r="K233" s="341"/>
      <c r="L233" s="341">
        <f t="shared" si="7"/>
        <v>0</v>
      </c>
      <c r="M233" s="341"/>
      <c r="N233" s="341"/>
      <c r="O233" s="341"/>
      <c r="P233" s="341"/>
      <c r="Q233" s="341">
        <f t="shared" si="6"/>
        <v>0</v>
      </c>
      <c r="R233" s="162"/>
      <c r="S233" s="162"/>
      <c r="T233" s="372">
        <v>41639</v>
      </c>
      <c r="U233" s="164"/>
      <c r="V233" s="164"/>
      <c r="W233" s="164"/>
      <c r="X233" s="164"/>
      <c r="Y233" s="164"/>
      <c r="Z233" s="164"/>
    </row>
    <row r="234" spans="1:26" s="165" customFormat="1" ht="84" customHeight="1">
      <c r="A234" s="467"/>
      <c r="B234" s="470"/>
      <c r="C234" s="159">
        <v>50</v>
      </c>
      <c r="D234" s="598" t="s">
        <v>217</v>
      </c>
      <c r="E234" s="344" t="s">
        <v>218</v>
      </c>
      <c r="F234" s="340" t="s">
        <v>390</v>
      </c>
      <c r="G234" s="341"/>
      <c r="H234" s="351" t="s">
        <v>684</v>
      </c>
      <c r="I234" s="345" t="s">
        <v>390</v>
      </c>
      <c r="J234" s="348">
        <v>0.25</v>
      </c>
      <c r="K234" s="352">
        <v>0.145</v>
      </c>
      <c r="L234" s="341">
        <f t="shared" si="7"/>
        <v>14400000</v>
      </c>
      <c r="M234" s="341"/>
      <c r="N234" s="341">
        <v>14400000</v>
      </c>
      <c r="O234" s="341"/>
      <c r="P234" s="341"/>
      <c r="Q234" s="341">
        <f t="shared" si="6"/>
        <v>14400000</v>
      </c>
      <c r="R234" s="162"/>
      <c r="S234" s="162"/>
      <c r="T234" s="372">
        <v>41639</v>
      </c>
      <c r="U234" s="164"/>
      <c r="V234" s="164"/>
      <c r="W234" s="164"/>
      <c r="X234" s="164"/>
      <c r="Y234" s="164"/>
      <c r="Z234" s="164"/>
    </row>
    <row r="235" spans="1:26" s="165" customFormat="1" ht="60.75">
      <c r="A235" s="467"/>
      <c r="B235" s="470"/>
      <c r="C235" s="159">
        <v>0</v>
      </c>
      <c r="D235" s="599"/>
      <c r="E235" s="344" t="s">
        <v>219</v>
      </c>
      <c r="F235" s="340" t="s">
        <v>560</v>
      </c>
      <c r="G235" s="341"/>
      <c r="H235" s="353"/>
      <c r="I235" s="341"/>
      <c r="J235" s="343">
        <v>0</v>
      </c>
      <c r="K235" s="341"/>
      <c r="L235" s="341">
        <f t="shared" si="7"/>
        <v>0</v>
      </c>
      <c r="M235" s="341"/>
      <c r="N235" s="341"/>
      <c r="O235" s="341"/>
      <c r="P235" s="341"/>
      <c r="Q235" s="341">
        <f t="shared" si="6"/>
        <v>0</v>
      </c>
      <c r="R235" s="162"/>
      <c r="S235" s="162"/>
      <c r="T235" s="372">
        <v>41639</v>
      </c>
      <c r="U235" s="164"/>
      <c r="V235" s="164"/>
      <c r="W235" s="164"/>
      <c r="X235" s="164"/>
      <c r="Y235" s="164"/>
      <c r="Z235" s="164"/>
    </row>
    <row r="236" spans="1:26" s="165" customFormat="1" ht="60.75">
      <c r="A236" s="467"/>
      <c r="B236" s="470"/>
      <c r="C236" s="159">
        <v>0</v>
      </c>
      <c r="D236" s="599"/>
      <c r="E236" s="344" t="s">
        <v>220</v>
      </c>
      <c r="F236" s="340" t="s">
        <v>500</v>
      </c>
      <c r="G236" s="341"/>
      <c r="H236" s="342"/>
      <c r="I236" s="341"/>
      <c r="J236" s="343">
        <v>0</v>
      </c>
      <c r="K236" s="341"/>
      <c r="L236" s="341">
        <f t="shared" si="7"/>
        <v>0</v>
      </c>
      <c r="M236" s="341"/>
      <c r="N236" s="341"/>
      <c r="O236" s="341"/>
      <c r="P236" s="341"/>
      <c r="Q236" s="341">
        <f t="shared" si="6"/>
        <v>0</v>
      </c>
      <c r="R236" s="162"/>
      <c r="S236" s="162"/>
      <c r="T236" s="372">
        <v>41639</v>
      </c>
      <c r="U236" s="164"/>
      <c r="V236" s="164"/>
      <c r="W236" s="164"/>
      <c r="X236" s="164"/>
      <c r="Y236" s="164"/>
      <c r="Z236" s="164"/>
    </row>
    <row r="237" spans="1:26" s="165" customFormat="1" ht="84.75">
      <c r="A237" s="467"/>
      <c r="B237" s="470"/>
      <c r="C237" s="159">
        <v>50</v>
      </c>
      <c r="D237" s="599"/>
      <c r="E237" s="344" t="s">
        <v>300</v>
      </c>
      <c r="F237" s="340" t="s">
        <v>561</v>
      </c>
      <c r="G237" s="341"/>
      <c r="H237" s="342"/>
      <c r="I237" s="341"/>
      <c r="J237" s="343">
        <v>196</v>
      </c>
      <c r="K237" s="341"/>
      <c r="L237" s="341">
        <f t="shared" si="7"/>
        <v>10793452</v>
      </c>
      <c r="M237" s="341"/>
      <c r="N237" s="341">
        <f>1731250+5200000+3862202</f>
        <v>10793452</v>
      </c>
      <c r="O237" s="341"/>
      <c r="P237" s="341"/>
      <c r="Q237" s="341">
        <f t="shared" si="6"/>
        <v>10793452</v>
      </c>
      <c r="R237" s="162"/>
      <c r="S237" s="162"/>
      <c r="T237" s="372">
        <v>41639</v>
      </c>
      <c r="U237" s="164"/>
      <c r="V237" s="164"/>
      <c r="W237" s="164"/>
      <c r="X237" s="164"/>
      <c r="Y237" s="164"/>
      <c r="Z237" s="164"/>
    </row>
    <row r="238" spans="1:26" s="165" customFormat="1" ht="15">
      <c r="A238" s="467"/>
      <c r="B238" s="470"/>
      <c r="C238" s="159">
        <f>SUM(C234:C237)</f>
        <v>100</v>
      </c>
      <c r="D238" s="600"/>
      <c r="E238" s="349" t="s">
        <v>342</v>
      </c>
      <c r="F238" s="340"/>
      <c r="G238" s="341"/>
      <c r="H238" s="342"/>
      <c r="I238" s="341"/>
      <c r="J238" s="343"/>
      <c r="K238" s="341"/>
      <c r="L238" s="341">
        <f t="shared" si="7"/>
        <v>0</v>
      </c>
      <c r="M238" s="341"/>
      <c r="N238" s="341"/>
      <c r="O238" s="341"/>
      <c r="P238" s="341"/>
      <c r="Q238" s="341">
        <f t="shared" si="6"/>
        <v>0</v>
      </c>
      <c r="R238" s="162"/>
      <c r="S238" s="162"/>
      <c r="T238" s="372">
        <v>41639</v>
      </c>
      <c r="U238" s="164"/>
      <c r="V238" s="164"/>
      <c r="W238" s="164"/>
      <c r="X238" s="164"/>
      <c r="Y238" s="164"/>
      <c r="Z238" s="164"/>
    </row>
    <row r="239" spans="1:26" s="165" customFormat="1" ht="48.75">
      <c r="A239" s="467"/>
      <c r="B239" s="470"/>
      <c r="C239" s="159">
        <v>20</v>
      </c>
      <c r="D239" s="598" t="s">
        <v>221</v>
      </c>
      <c r="E239" s="344" t="s">
        <v>222</v>
      </c>
      <c r="F239" s="340" t="s">
        <v>562</v>
      </c>
      <c r="G239" s="341"/>
      <c r="H239" s="342"/>
      <c r="I239" s="341"/>
      <c r="J239" s="343">
        <v>15</v>
      </c>
      <c r="K239" s="341"/>
      <c r="L239" s="341">
        <f t="shared" si="7"/>
        <v>21563244</v>
      </c>
      <c r="M239" s="341"/>
      <c r="N239" s="341">
        <f>19563244+2000000</f>
        <v>21563244</v>
      </c>
      <c r="O239" s="341"/>
      <c r="P239" s="341"/>
      <c r="Q239" s="341">
        <f t="shared" si="6"/>
        <v>21563244</v>
      </c>
      <c r="R239" s="162"/>
      <c r="S239" s="162"/>
      <c r="T239" s="372">
        <v>41639</v>
      </c>
      <c r="U239" s="164"/>
      <c r="V239" s="164"/>
      <c r="W239" s="164"/>
      <c r="X239" s="164"/>
      <c r="Y239" s="164"/>
      <c r="Z239" s="164"/>
    </row>
    <row r="240" spans="1:26" s="165" customFormat="1" ht="48.75">
      <c r="A240" s="467"/>
      <c r="B240" s="470"/>
      <c r="C240" s="159">
        <v>0</v>
      </c>
      <c r="D240" s="599"/>
      <c r="E240" s="344" t="s">
        <v>223</v>
      </c>
      <c r="F240" s="340" t="s">
        <v>563</v>
      </c>
      <c r="G240" s="341"/>
      <c r="H240" s="342"/>
      <c r="I240" s="341"/>
      <c r="J240" s="343">
        <v>0</v>
      </c>
      <c r="K240" s="341"/>
      <c r="L240" s="341">
        <f t="shared" si="7"/>
        <v>3000000</v>
      </c>
      <c r="M240" s="341"/>
      <c r="N240" s="341">
        <v>3000000</v>
      </c>
      <c r="O240" s="341"/>
      <c r="P240" s="341"/>
      <c r="Q240" s="341">
        <f t="shared" si="6"/>
        <v>3000000</v>
      </c>
      <c r="R240" s="162"/>
      <c r="S240" s="162"/>
      <c r="T240" s="372">
        <v>41639</v>
      </c>
      <c r="U240" s="164"/>
      <c r="V240" s="164"/>
      <c r="W240" s="164"/>
      <c r="X240" s="164"/>
      <c r="Y240" s="164"/>
      <c r="Z240" s="164"/>
    </row>
    <row r="241" spans="1:26" s="169" customFormat="1" ht="42" customHeight="1">
      <c r="A241" s="467"/>
      <c r="B241" s="470"/>
      <c r="C241" s="159">
        <v>20</v>
      </c>
      <c r="D241" s="599"/>
      <c r="E241" s="513" t="s">
        <v>303</v>
      </c>
      <c r="F241" s="570" t="s">
        <v>564</v>
      </c>
      <c r="G241" s="341"/>
      <c r="H241" s="342" t="s">
        <v>685</v>
      </c>
      <c r="I241" s="564" t="s">
        <v>564</v>
      </c>
      <c r="J241" s="567">
        <v>251</v>
      </c>
      <c r="K241" s="591">
        <v>251</v>
      </c>
      <c r="L241" s="341">
        <f t="shared" si="7"/>
        <v>0</v>
      </c>
      <c r="M241" s="341"/>
      <c r="N241" s="341"/>
      <c r="O241" s="341"/>
      <c r="P241" s="341"/>
      <c r="Q241" s="341">
        <f t="shared" si="6"/>
        <v>0</v>
      </c>
      <c r="R241" s="162" t="s">
        <v>740</v>
      </c>
      <c r="S241" s="531" t="s">
        <v>625</v>
      </c>
      <c r="T241" s="372">
        <v>41639</v>
      </c>
      <c r="U241" s="168"/>
      <c r="V241" s="168"/>
      <c r="W241" s="168"/>
      <c r="X241" s="168"/>
      <c r="Y241" s="168"/>
      <c r="Z241" s="168"/>
    </row>
    <row r="242" spans="1:26" s="169" customFormat="1" ht="57.75" customHeight="1">
      <c r="A242" s="467"/>
      <c r="B242" s="470"/>
      <c r="C242" s="159"/>
      <c r="D242" s="599"/>
      <c r="E242" s="514"/>
      <c r="F242" s="571"/>
      <c r="G242" s="341"/>
      <c r="H242" s="342" t="s">
        <v>686</v>
      </c>
      <c r="I242" s="565"/>
      <c r="J242" s="568"/>
      <c r="K242" s="592"/>
      <c r="L242" s="341">
        <f t="shared" si="7"/>
        <v>0</v>
      </c>
      <c r="M242" s="341"/>
      <c r="N242" s="341"/>
      <c r="O242" s="341"/>
      <c r="P242" s="341"/>
      <c r="Q242" s="341">
        <f t="shared" si="6"/>
        <v>0</v>
      </c>
      <c r="R242" s="162" t="s">
        <v>741</v>
      </c>
      <c r="S242" s="532"/>
      <c r="T242" s="372">
        <v>41639</v>
      </c>
      <c r="U242" s="168"/>
      <c r="V242" s="168"/>
      <c r="W242" s="168"/>
      <c r="X242" s="168"/>
      <c r="Y242" s="168"/>
      <c r="Z242" s="168"/>
    </row>
    <row r="243" spans="1:26" s="169" customFormat="1" ht="42" customHeight="1">
      <c r="A243" s="467"/>
      <c r="B243" s="470"/>
      <c r="C243" s="159"/>
      <c r="D243" s="599"/>
      <c r="E243" s="514"/>
      <c r="F243" s="571"/>
      <c r="G243" s="341"/>
      <c r="H243" s="342" t="s">
        <v>685</v>
      </c>
      <c r="I243" s="565"/>
      <c r="J243" s="568"/>
      <c r="K243" s="592"/>
      <c r="L243" s="341">
        <f t="shared" si="7"/>
        <v>22000000</v>
      </c>
      <c r="M243" s="341"/>
      <c r="N243" s="341">
        <v>22000000</v>
      </c>
      <c r="O243" s="341"/>
      <c r="P243" s="341"/>
      <c r="Q243" s="341">
        <f t="shared" si="6"/>
        <v>22000000</v>
      </c>
      <c r="R243" s="162" t="s">
        <v>741</v>
      </c>
      <c r="S243" s="532"/>
      <c r="T243" s="372">
        <v>41639</v>
      </c>
      <c r="U243" s="168"/>
      <c r="V243" s="168"/>
      <c r="W243" s="168"/>
      <c r="X243" s="168"/>
      <c r="Y243" s="168"/>
      <c r="Z243" s="168"/>
    </row>
    <row r="244" spans="1:26" s="169" customFormat="1" ht="42" customHeight="1">
      <c r="A244" s="467"/>
      <c r="B244" s="470"/>
      <c r="C244" s="159"/>
      <c r="D244" s="599"/>
      <c r="E244" s="514"/>
      <c r="F244" s="571"/>
      <c r="G244" s="341"/>
      <c r="H244" s="342" t="s">
        <v>687</v>
      </c>
      <c r="I244" s="565"/>
      <c r="J244" s="568"/>
      <c r="K244" s="592"/>
      <c r="L244" s="341">
        <f t="shared" si="7"/>
        <v>0</v>
      </c>
      <c r="M244" s="341"/>
      <c r="N244" s="341"/>
      <c r="O244" s="341"/>
      <c r="P244" s="341"/>
      <c r="Q244" s="341">
        <f t="shared" si="6"/>
        <v>0</v>
      </c>
      <c r="R244" s="162" t="s">
        <v>742</v>
      </c>
      <c r="S244" s="532"/>
      <c r="T244" s="372">
        <v>41639</v>
      </c>
      <c r="U244" s="168"/>
      <c r="V244" s="168"/>
      <c r="W244" s="168"/>
      <c r="X244" s="168"/>
      <c r="Y244" s="168"/>
      <c r="Z244" s="168"/>
    </row>
    <row r="245" spans="1:26" s="169" customFormat="1" ht="57.75" customHeight="1">
      <c r="A245" s="467"/>
      <c r="B245" s="470"/>
      <c r="C245" s="159"/>
      <c r="D245" s="599"/>
      <c r="E245" s="515"/>
      <c r="F245" s="572"/>
      <c r="G245" s="341"/>
      <c r="H245" s="342" t="s">
        <v>686</v>
      </c>
      <c r="I245" s="566"/>
      <c r="J245" s="569"/>
      <c r="K245" s="593"/>
      <c r="L245" s="341">
        <f t="shared" si="7"/>
        <v>0</v>
      </c>
      <c r="M245" s="341"/>
      <c r="N245" s="341"/>
      <c r="O245" s="341"/>
      <c r="P245" s="341"/>
      <c r="Q245" s="341">
        <f t="shared" si="6"/>
        <v>0</v>
      </c>
      <c r="R245" s="162" t="s">
        <v>740</v>
      </c>
      <c r="S245" s="533"/>
      <c r="T245" s="372">
        <v>41639</v>
      </c>
      <c r="U245" s="168"/>
      <c r="V245" s="168"/>
      <c r="W245" s="168"/>
      <c r="X245" s="168"/>
      <c r="Y245" s="168"/>
      <c r="Z245" s="168"/>
    </row>
    <row r="246" spans="1:26" s="169" customFormat="1" ht="60.75">
      <c r="A246" s="467"/>
      <c r="B246" s="470"/>
      <c r="C246" s="159">
        <v>20</v>
      </c>
      <c r="D246" s="599"/>
      <c r="E246" s="344" t="s">
        <v>301</v>
      </c>
      <c r="F246" s="340" t="s">
        <v>524</v>
      </c>
      <c r="G246" s="341"/>
      <c r="H246" s="342"/>
      <c r="I246" s="341"/>
      <c r="J246" s="348">
        <v>0.25</v>
      </c>
      <c r="K246" s="341"/>
      <c r="L246" s="341">
        <f t="shared" si="7"/>
        <v>1000000</v>
      </c>
      <c r="M246" s="341"/>
      <c r="N246" s="341">
        <v>1000000</v>
      </c>
      <c r="O246" s="341"/>
      <c r="P246" s="341"/>
      <c r="Q246" s="341">
        <f t="shared" si="6"/>
        <v>1000000</v>
      </c>
      <c r="R246" s="162"/>
      <c r="S246" s="162"/>
      <c r="T246" s="372">
        <v>41639</v>
      </c>
      <c r="U246" s="168"/>
      <c r="V246" s="168"/>
      <c r="W246" s="168"/>
      <c r="X246" s="168"/>
      <c r="Y246" s="168"/>
      <c r="Z246" s="168"/>
    </row>
    <row r="247" spans="1:26" s="169" customFormat="1" ht="60.75">
      <c r="A247" s="467"/>
      <c r="B247" s="470"/>
      <c r="C247" s="159">
        <v>20</v>
      </c>
      <c r="D247" s="599"/>
      <c r="E247" s="344" t="s">
        <v>224</v>
      </c>
      <c r="F247" s="340" t="s">
        <v>565</v>
      </c>
      <c r="G247" s="341"/>
      <c r="H247" s="342" t="s">
        <v>375</v>
      </c>
      <c r="I247" s="341" t="s">
        <v>375</v>
      </c>
      <c r="J247" s="348">
        <v>1</v>
      </c>
      <c r="K247" s="352">
        <v>0.6</v>
      </c>
      <c r="L247" s="341">
        <f t="shared" si="7"/>
        <v>66854231</v>
      </c>
      <c r="M247" s="341"/>
      <c r="N247" s="341">
        <v>66854231</v>
      </c>
      <c r="O247" s="341"/>
      <c r="P247" s="341"/>
      <c r="Q247" s="341">
        <f t="shared" si="6"/>
        <v>66854231</v>
      </c>
      <c r="R247" s="162"/>
      <c r="S247" s="162"/>
      <c r="T247" s="372">
        <v>41639</v>
      </c>
      <c r="U247" s="168"/>
      <c r="V247" s="168"/>
      <c r="W247" s="168"/>
      <c r="X247" s="168"/>
      <c r="Y247" s="168"/>
      <c r="Z247" s="168"/>
    </row>
    <row r="248" spans="1:26" s="169" customFormat="1" ht="48.75">
      <c r="A248" s="467"/>
      <c r="B248" s="470"/>
      <c r="C248" s="159">
        <v>20</v>
      </c>
      <c r="D248" s="599"/>
      <c r="E248" s="344" t="s">
        <v>302</v>
      </c>
      <c r="F248" s="340" t="s">
        <v>566</v>
      </c>
      <c r="G248" s="341"/>
      <c r="H248" s="342"/>
      <c r="I248" s="341"/>
      <c r="J248" s="343">
        <v>15</v>
      </c>
      <c r="K248" s="341"/>
      <c r="L248" s="341">
        <f t="shared" si="7"/>
        <v>0</v>
      </c>
      <c r="M248" s="341"/>
      <c r="N248" s="341"/>
      <c r="O248" s="341"/>
      <c r="P248" s="341"/>
      <c r="Q248" s="341">
        <f t="shared" si="6"/>
        <v>0</v>
      </c>
      <c r="R248" s="162"/>
      <c r="S248" s="162"/>
      <c r="T248" s="372">
        <v>41639</v>
      </c>
      <c r="U248" s="168"/>
      <c r="V248" s="168"/>
      <c r="W248" s="168"/>
      <c r="X248" s="168"/>
      <c r="Y248" s="168"/>
      <c r="Z248" s="168"/>
    </row>
    <row r="249" spans="1:26" s="14" customFormat="1" ht="15">
      <c r="A249" s="467"/>
      <c r="B249" s="470"/>
      <c r="C249" s="131">
        <f>SUM(C239:C248)</f>
        <v>100</v>
      </c>
      <c r="D249" s="600"/>
      <c r="E249" s="354" t="s">
        <v>342</v>
      </c>
      <c r="F249" s="340"/>
      <c r="G249" s="341"/>
      <c r="H249" s="342"/>
      <c r="I249" s="341"/>
      <c r="J249" s="343"/>
      <c r="K249" s="341"/>
      <c r="L249" s="341">
        <f t="shared" si="7"/>
        <v>0</v>
      </c>
      <c r="M249" s="341"/>
      <c r="N249" s="341"/>
      <c r="O249" s="341"/>
      <c r="P249" s="341"/>
      <c r="Q249" s="341">
        <f t="shared" si="6"/>
        <v>0</v>
      </c>
      <c r="R249" s="108"/>
      <c r="S249" s="383"/>
      <c r="T249" s="372">
        <v>41639</v>
      </c>
      <c r="U249" s="132"/>
      <c r="V249" s="132"/>
      <c r="W249" s="132"/>
      <c r="X249" s="132"/>
      <c r="Y249" s="132"/>
      <c r="Z249" s="132"/>
    </row>
    <row r="250" spans="1:26" s="14" customFormat="1" ht="40.5" customHeight="1">
      <c r="A250" s="467"/>
      <c r="B250" s="470"/>
      <c r="C250" s="131"/>
      <c r="D250" s="519" t="s">
        <v>58</v>
      </c>
      <c r="E250" s="520"/>
      <c r="F250" s="309"/>
      <c r="G250" s="310"/>
      <c r="H250" s="311"/>
      <c r="I250" s="310"/>
      <c r="J250" s="312"/>
      <c r="K250" s="310"/>
      <c r="L250" s="310">
        <f t="shared" si="7"/>
        <v>0</v>
      </c>
      <c r="M250" s="310"/>
      <c r="N250" s="310"/>
      <c r="O250" s="310"/>
      <c r="P250" s="310"/>
      <c r="Q250" s="310">
        <f t="shared" si="6"/>
        <v>0</v>
      </c>
      <c r="R250" s="108"/>
      <c r="S250" s="383"/>
      <c r="T250" s="372">
        <v>41639</v>
      </c>
      <c r="U250" s="132"/>
      <c r="V250" s="132"/>
      <c r="W250" s="132"/>
      <c r="X250" s="132"/>
      <c r="Y250" s="132"/>
      <c r="Z250" s="132"/>
    </row>
    <row r="251" spans="1:26" s="49" customFormat="1" ht="71.25" customHeight="1">
      <c r="A251" s="467"/>
      <c r="B251" s="470"/>
      <c r="C251" s="115">
        <v>50</v>
      </c>
      <c r="D251" s="479" t="s">
        <v>304</v>
      </c>
      <c r="E251" s="313" t="s">
        <v>305</v>
      </c>
      <c r="F251" s="309" t="s">
        <v>567</v>
      </c>
      <c r="G251" s="310"/>
      <c r="H251" s="314" t="s">
        <v>688</v>
      </c>
      <c r="I251" s="315" t="s">
        <v>567</v>
      </c>
      <c r="J251" s="312">
        <v>1</v>
      </c>
      <c r="K251" s="310"/>
      <c r="L251" s="310">
        <f t="shared" si="7"/>
        <v>2500000</v>
      </c>
      <c r="M251" s="310"/>
      <c r="N251" s="310">
        <v>2500000</v>
      </c>
      <c r="O251" s="310"/>
      <c r="P251" s="310"/>
      <c r="Q251" s="310">
        <f t="shared" si="6"/>
        <v>2500000</v>
      </c>
      <c r="R251" s="108" t="s">
        <v>743</v>
      </c>
      <c r="S251" s="108"/>
      <c r="T251" s="372">
        <v>41639</v>
      </c>
      <c r="U251" s="130"/>
      <c r="V251" s="130"/>
      <c r="W251" s="130"/>
      <c r="X251" s="130"/>
      <c r="Y251" s="130"/>
      <c r="Z251" s="130"/>
    </row>
    <row r="252" spans="1:26" s="49" customFormat="1" ht="36">
      <c r="A252" s="467"/>
      <c r="B252" s="470"/>
      <c r="C252" s="115">
        <v>0</v>
      </c>
      <c r="D252" s="480"/>
      <c r="E252" s="313" t="s">
        <v>225</v>
      </c>
      <c r="F252" s="309" t="s">
        <v>568</v>
      </c>
      <c r="G252" s="310"/>
      <c r="H252" s="311" t="s">
        <v>657</v>
      </c>
      <c r="I252" s="310"/>
      <c r="J252" s="312">
        <v>0</v>
      </c>
      <c r="K252" s="310"/>
      <c r="L252" s="310">
        <f t="shared" si="7"/>
        <v>500000</v>
      </c>
      <c r="M252" s="310"/>
      <c r="N252" s="310">
        <v>500000</v>
      </c>
      <c r="O252" s="310"/>
      <c r="P252" s="310"/>
      <c r="Q252" s="310">
        <f t="shared" si="6"/>
        <v>500000</v>
      </c>
      <c r="R252" s="108" t="s">
        <v>743</v>
      </c>
      <c r="S252" s="108"/>
      <c r="T252" s="372">
        <v>41639</v>
      </c>
      <c r="U252" s="130"/>
      <c r="V252" s="130"/>
      <c r="W252" s="130"/>
      <c r="X252" s="130"/>
      <c r="Y252" s="130"/>
      <c r="Z252" s="130"/>
    </row>
    <row r="253" spans="1:26" s="49" customFormat="1" ht="48">
      <c r="A253" s="467"/>
      <c r="B253" s="470"/>
      <c r="C253" s="115">
        <v>50</v>
      </c>
      <c r="D253" s="480"/>
      <c r="E253" s="313" t="s">
        <v>226</v>
      </c>
      <c r="F253" s="309" t="s">
        <v>569</v>
      </c>
      <c r="G253" s="310"/>
      <c r="H253" s="311"/>
      <c r="I253" s="310"/>
      <c r="J253" s="312">
        <v>1</v>
      </c>
      <c r="K253" s="310"/>
      <c r="L253" s="310">
        <f t="shared" si="7"/>
        <v>1500000</v>
      </c>
      <c r="M253" s="310"/>
      <c r="N253" s="310">
        <v>1500000</v>
      </c>
      <c r="O253" s="310"/>
      <c r="P253" s="310"/>
      <c r="Q253" s="310">
        <f t="shared" si="6"/>
        <v>1500000</v>
      </c>
      <c r="R253" s="108" t="s">
        <v>743</v>
      </c>
      <c r="S253" s="108"/>
      <c r="T253" s="372">
        <v>41639</v>
      </c>
      <c r="U253" s="130"/>
      <c r="V253" s="130"/>
      <c r="W253" s="130"/>
      <c r="X253" s="130"/>
      <c r="Y253" s="130"/>
      <c r="Z253" s="130"/>
    </row>
    <row r="254" spans="1:26" s="12" customFormat="1" ht="15">
      <c r="A254" s="467"/>
      <c r="B254" s="470"/>
      <c r="C254" s="119">
        <f>SUM(C251:C253)</f>
        <v>100</v>
      </c>
      <c r="D254" s="481"/>
      <c r="E254" s="316" t="s">
        <v>342</v>
      </c>
      <c r="F254" s="309"/>
      <c r="G254" s="310"/>
      <c r="H254" s="311"/>
      <c r="I254" s="310"/>
      <c r="J254" s="312"/>
      <c r="K254" s="310"/>
      <c r="L254" s="310">
        <f t="shared" si="7"/>
        <v>0</v>
      </c>
      <c r="M254" s="310"/>
      <c r="N254" s="310"/>
      <c r="O254" s="310"/>
      <c r="P254" s="310"/>
      <c r="Q254" s="310">
        <f t="shared" si="6"/>
        <v>0</v>
      </c>
      <c r="R254" s="108"/>
      <c r="S254" s="120"/>
      <c r="T254" s="372">
        <v>41639</v>
      </c>
      <c r="U254" s="133"/>
      <c r="V254" s="133"/>
      <c r="W254" s="133"/>
      <c r="X254" s="133"/>
      <c r="Y254" s="133"/>
      <c r="Z254" s="133"/>
    </row>
    <row r="255" spans="1:26" s="49" customFormat="1" ht="84">
      <c r="A255" s="467"/>
      <c r="B255" s="470"/>
      <c r="C255" s="115">
        <v>50</v>
      </c>
      <c r="D255" s="479" t="s">
        <v>227</v>
      </c>
      <c r="E255" s="313" t="s">
        <v>228</v>
      </c>
      <c r="F255" s="309" t="s">
        <v>570</v>
      </c>
      <c r="G255" s="310"/>
      <c r="H255" s="311"/>
      <c r="I255" s="310"/>
      <c r="J255" s="312">
        <v>2</v>
      </c>
      <c r="K255" s="310"/>
      <c r="L255" s="310">
        <f t="shared" si="7"/>
        <v>8000000</v>
      </c>
      <c r="M255" s="310"/>
      <c r="N255" s="310">
        <v>8000000</v>
      </c>
      <c r="O255" s="310"/>
      <c r="P255" s="310"/>
      <c r="Q255" s="310">
        <f t="shared" si="6"/>
        <v>8000000</v>
      </c>
      <c r="R255" s="108" t="s">
        <v>743</v>
      </c>
      <c r="S255" s="108"/>
      <c r="T255" s="372">
        <v>41639</v>
      </c>
      <c r="U255" s="130"/>
      <c r="V255" s="130"/>
      <c r="W255" s="130"/>
      <c r="X255" s="130"/>
      <c r="Y255" s="130"/>
      <c r="Z255" s="130"/>
    </row>
    <row r="256" spans="1:26" s="49" customFormat="1" ht="48">
      <c r="A256" s="467"/>
      <c r="B256" s="470"/>
      <c r="C256" s="115">
        <v>50</v>
      </c>
      <c r="D256" s="480"/>
      <c r="E256" s="313" t="s">
        <v>366</v>
      </c>
      <c r="F256" s="309" t="s">
        <v>570</v>
      </c>
      <c r="G256" s="310"/>
      <c r="H256" s="311"/>
      <c r="I256" s="310"/>
      <c r="J256" s="312">
        <v>2</v>
      </c>
      <c r="K256" s="310"/>
      <c r="L256" s="310">
        <f t="shared" si="7"/>
        <v>2000000</v>
      </c>
      <c r="M256" s="310"/>
      <c r="N256" s="310">
        <v>2000000</v>
      </c>
      <c r="O256" s="310"/>
      <c r="P256" s="310"/>
      <c r="Q256" s="310">
        <f t="shared" si="6"/>
        <v>2000000</v>
      </c>
      <c r="R256" s="108" t="s">
        <v>743</v>
      </c>
      <c r="S256" s="108"/>
      <c r="T256" s="372">
        <v>41639</v>
      </c>
      <c r="U256" s="130"/>
      <c r="V256" s="130"/>
      <c r="W256" s="130"/>
      <c r="X256" s="130"/>
      <c r="Y256" s="130"/>
      <c r="Z256" s="130"/>
    </row>
    <row r="257" spans="1:26" s="49" customFormat="1" ht="60">
      <c r="A257" s="467"/>
      <c r="B257" s="470"/>
      <c r="C257" s="115">
        <v>0</v>
      </c>
      <c r="D257" s="480"/>
      <c r="E257" s="313" t="s">
        <v>367</v>
      </c>
      <c r="F257" s="309" t="s">
        <v>571</v>
      </c>
      <c r="G257" s="310"/>
      <c r="H257" s="311"/>
      <c r="I257" s="310"/>
      <c r="J257" s="312">
        <v>0</v>
      </c>
      <c r="K257" s="310"/>
      <c r="L257" s="310">
        <f t="shared" si="7"/>
        <v>1500000</v>
      </c>
      <c r="M257" s="310"/>
      <c r="N257" s="310">
        <v>1500000</v>
      </c>
      <c r="O257" s="310"/>
      <c r="P257" s="310"/>
      <c r="Q257" s="310">
        <f t="shared" si="6"/>
        <v>1500000</v>
      </c>
      <c r="R257" s="108" t="s">
        <v>743</v>
      </c>
      <c r="S257" s="108"/>
      <c r="T257" s="372">
        <v>41639</v>
      </c>
      <c r="U257" s="130"/>
      <c r="V257" s="130"/>
      <c r="W257" s="130"/>
      <c r="X257" s="130"/>
      <c r="Y257" s="130"/>
      <c r="Z257" s="130"/>
    </row>
    <row r="258" spans="1:26" s="12" customFormat="1" ht="15">
      <c r="A258" s="467"/>
      <c r="B258" s="470"/>
      <c r="C258" s="119">
        <f>SUM(C255:C257)</f>
        <v>100</v>
      </c>
      <c r="D258" s="481"/>
      <c r="E258" s="316" t="s">
        <v>342</v>
      </c>
      <c r="F258" s="309"/>
      <c r="G258" s="310"/>
      <c r="H258" s="311"/>
      <c r="I258" s="310"/>
      <c r="J258" s="312"/>
      <c r="K258" s="310"/>
      <c r="L258" s="310">
        <f t="shared" si="7"/>
        <v>0</v>
      </c>
      <c r="M258" s="310"/>
      <c r="N258" s="310"/>
      <c r="O258" s="310"/>
      <c r="P258" s="310"/>
      <c r="Q258" s="310">
        <f t="shared" si="6"/>
        <v>0</v>
      </c>
      <c r="R258" s="108"/>
      <c r="S258" s="120"/>
      <c r="T258" s="372">
        <v>41639</v>
      </c>
      <c r="U258" s="133"/>
      <c r="V258" s="133"/>
      <c r="W258" s="133"/>
      <c r="X258" s="133"/>
      <c r="Y258" s="133"/>
      <c r="Z258" s="133"/>
    </row>
    <row r="259" spans="1:26" s="12" customFormat="1" ht="60" customHeight="1">
      <c r="A259" s="467"/>
      <c r="B259" s="470"/>
      <c r="C259" s="119">
        <v>0</v>
      </c>
      <c r="D259" s="479" t="s">
        <v>229</v>
      </c>
      <c r="E259" s="313" t="s">
        <v>230</v>
      </c>
      <c r="F259" s="309" t="s">
        <v>572</v>
      </c>
      <c r="G259" s="310"/>
      <c r="H259" s="311"/>
      <c r="I259" s="310"/>
      <c r="J259" s="312">
        <v>0</v>
      </c>
      <c r="K259" s="310"/>
      <c r="L259" s="310">
        <f t="shared" si="7"/>
        <v>0</v>
      </c>
      <c r="M259" s="310"/>
      <c r="N259" s="310"/>
      <c r="O259" s="310"/>
      <c r="P259" s="310"/>
      <c r="Q259" s="310">
        <f t="shared" si="6"/>
        <v>0</v>
      </c>
      <c r="R259" s="108"/>
      <c r="S259" s="120"/>
      <c r="T259" s="372">
        <v>41639</v>
      </c>
      <c r="U259" s="133"/>
      <c r="V259" s="133"/>
      <c r="W259" s="133"/>
      <c r="X259" s="133"/>
      <c r="Y259" s="133"/>
      <c r="Z259" s="133"/>
    </row>
    <row r="260" spans="1:26" s="12" customFormat="1" ht="15">
      <c r="A260" s="467"/>
      <c r="B260" s="470"/>
      <c r="C260" s="119">
        <f>SUM(C259)</f>
        <v>0</v>
      </c>
      <c r="D260" s="481"/>
      <c r="E260" s="316" t="s">
        <v>342</v>
      </c>
      <c r="F260" s="309"/>
      <c r="G260" s="310"/>
      <c r="H260" s="311"/>
      <c r="I260" s="310"/>
      <c r="J260" s="312"/>
      <c r="K260" s="310"/>
      <c r="L260" s="310">
        <f t="shared" si="7"/>
        <v>0</v>
      </c>
      <c r="M260" s="310"/>
      <c r="N260" s="310"/>
      <c r="O260" s="310"/>
      <c r="P260" s="310"/>
      <c r="Q260" s="310">
        <f aca="true" t="shared" si="8" ref="Q260:Q323">SUM(M260:P260)</f>
        <v>0</v>
      </c>
      <c r="R260" s="108"/>
      <c r="S260" s="120"/>
      <c r="T260" s="372">
        <v>41639</v>
      </c>
      <c r="U260" s="133"/>
      <c r="V260" s="133"/>
      <c r="W260" s="133"/>
      <c r="X260" s="133"/>
      <c r="Y260" s="133"/>
      <c r="Z260" s="133"/>
    </row>
    <row r="261" spans="1:26" s="12" customFormat="1" ht="72">
      <c r="A261" s="467"/>
      <c r="B261" s="470"/>
      <c r="C261" s="119">
        <v>10</v>
      </c>
      <c r="D261" s="518" t="s">
        <v>231</v>
      </c>
      <c r="E261" s="313" t="s">
        <v>306</v>
      </c>
      <c r="F261" s="309" t="s">
        <v>573</v>
      </c>
      <c r="G261" s="310"/>
      <c r="H261" s="311" t="s">
        <v>649</v>
      </c>
      <c r="I261" s="310"/>
      <c r="J261" s="317">
        <v>0.25</v>
      </c>
      <c r="K261" s="310"/>
      <c r="L261" s="310">
        <f t="shared" si="7"/>
        <v>5000000</v>
      </c>
      <c r="M261" s="318"/>
      <c r="N261" s="318">
        <v>5000000</v>
      </c>
      <c r="O261" s="319"/>
      <c r="P261" s="319"/>
      <c r="Q261" s="310">
        <f t="shared" si="8"/>
        <v>5000000</v>
      </c>
      <c r="R261" s="108" t="s">
        <v>743</v>
      </c>
      <c r="S261" s="120"/>
      <c r="T261" s="372">
        <v>41639</v>
      </c>
      <c r="U261" s="133"/>
      <c r="V261" s="133"/>
      <c r="W261" s="133"/>
      <c r="X261" s="133"/>
      <c r="Y261" s="133"/>
      <c r="Z261" s="133"/>
    </row>
    <row r="262" spans="1:26" s="12" customFormat="1" ht="60">
      <c r="A262" s="467"/>
      <c r="B262" s="470"/>
      <c r="C262" s="119">
        <v>10</v>
      </c>
      <c r="D262" s="518"/>
      <c r="E262" s="313" t="s">
        <v>72</v>
      </c>
      <c r="F262" s="309" t="s">
        <v>574</v>
      </c>
      <c r="G262" s="310"/>
      <c r="H262" s="311"/>
      <c r="I262" s="310"/>
      <c r="J262" s="312">
        <v>2</v>
      </c>
      <c r="K262" s="310"/>
      <c r="L262" s="310">
        <f aca="true" t="shared" si="9" ref="L262:L325">+M262+N262+O262+P262</f>
        <v>1000000</v>
      </c>
      <c r="M262" s="319"/>
      <c r="N262" s="319">
        <v>1000000</v>
      </c>
      <c r="O262" s="319"/>
      <c r="P262" s="319"/>
      <c r="Q262" s="310">
        <f t="shared" si="8"/>
        <v>1000000</v>
      </c>
      <c r="R262" s="108" t="s">
        <v>743</v>
      </c>
      <c r="S262" s="120"/>
      <c r="T262" s="372">
        <v>41639</v>
      </c>
      <c r="U262" s="133"/>
      <c r="V262" s="133"/>
      <c r="W262" s="133"/>
      <c r="X262" s="133"/>
      <c r="Y262" s="133"/>
      <c r="Z262" s="133"/>
    </row>
    <row r="263" spans="1:26" s="12" customFormat="1" ht="96">
      <c r="A263" s="467"/>
      <c r="B263" s="470"/>
      <c r="C263" s="119">
        <v>10</v>
      </c>
      <c r="D263" s="518"/>
      <c r="E263" s="313" t="s">
        <v>232</v>
      </c>
      <c r="F263" s="309" t="s">
        <v>575</v>
      </c>
      <c r="G263" s="310"/>
      <c r="H263" s="311" t="s">
        <v>651</v>
      </c>
      <c r="I263" s="310"/>
      <c r="J263" s="312">
        <v>1</v>
      </c>
      <c r="K263" s="310"/>
      <c r="L263" s="310">
        <f t="shared" si="9"/>
        <v>0</v>
      </c>
      <c r="M263" s="319"/>
      <c r="N263" s="318"/>
      <c r="O263" s="319"/>
      <c r="P263" s="319"/>
      <c r="Q263" s="310">
        <f t="shared" si="8"/>
        <v>0</v>
      </c>
      <c r="R263" s="108"/>
      <c r="S263" s="120"/>
      <c r="T263" s="372">
        <v>41639</v>
      </c>
      <c r="U263" s="133"/>
      <c r="V263" s="133"/>
      <c r="W263" s="133"/>
      <c r="X263" s="133"/>
      <c r="Y263" s="133"/>
      <c r="Z263" s="133"/>
    </row>
    <row r="264" spans="1:26" s="12" customFormat="1" ht="60">
      <c r="A264" s="467"/>
      <c r="B264" s="470"/>
      <c r="C264" s="119">
        <v>10</v>
      </c>
      <c r="D264" s="518"/>
      <c r="E264" s="313" t="s">
        <v>233</v>
      </c>
      <c r="F264" s="309" t="s">
        <v>516</v>
      </c>
      <c r="G264" s="310"/>
      <c r="H264" s="311"/>
      <c r="I264" s="310"/>
      <c r="J264" s="312">
        <v>0</v>
      </c>
      <c r="K264" s="310"/>
      <c r="L264" s="310">
        <f t="shared" si="9"/>
        <v>0</v>
      </c>
      <c r="M264" s="310"/>
      <c r="N264" s="310"/>
      <c r="O264" s="310"/>
      <c r="P264" s="310"/>
      <c r="Q264" s="310">
        <f t="shared" si="8"/>
        <v>0</v>
      </c>
      <c r="R264" s="108"/>
      <c r="S264" s="120"/>
      <c r="T264" s="372">
        <v>41639</v>
      </c>
      <c r="U264" s="133"/>
      <c r="V264" s="133"/>
      <c r="W264" s="133"/>
      <c r="X264" s="133"/>
      <c r="Y264" s="133"/>
      <c r="Z264" s="133"/>
    </row>
    <row r="265" spans="1:26" s="12" customFormat="1" ht="60">
      <c r="A265" s="467"/>
      <c r="B265" s="470"/>
      <c r="C265" s="119">
        <v>0</v>
      </c>
      <c r="D265" s="518"/>
      <c r="E265" s="313" t="s">
        <v>79</v>
      </c>
      <c r="F265" s="309" t="s">
        <v>616</v>
      </c>
      <c r="G265" s="310"/>
      <c r="H265" s="311" t="s">
        <v>650</v>
      </c>
      <c r="I265" s="310"/>
      <c r="J265" s="312">
        <v>4</v>
      </c>
      <c r="K265" s="310"/>
      <c r="L265" s="310">
        <f t="shared" si="9"/>
        <v>500000</v>
      </c>
      <c r="M265" s="310"/>
      <c r="N265" s="318">
        <v>500000</v>
      </c>
      <c r="O265" s="310"/>
      <c r="P265" s="310"/>
      <c r="Q265" s="310">
        <f t="shared" si="8"/>
        <v>500000</v>
      </c>
      <c r="R265" s="108"/>
      <c r="S265" s="120"/>
      <c r="T265" s="372">
        <v>41639</v>
      </c>
      <c r="U265" s="133"/>
      <c r="V265" s="133"/>
      <c r="W265" s="133"/>
      <c r="X265" s="133"/>
      <c r="Y265" s="133"/>
      <c r="Z265" s="133"/>
    </row>
    <row r="266" spans="1:26" s="15" customFormat="1" ht="60">
      <c r="A266" s="467"/>
      <c r="B266" s="470"/>
      <c r="C266" s="134">
        <v>10</v>
      </c>
      <c r="D266" s="518"/>
      <c r="E266" s="313" t="s">
        <v>368</v>
      </c>
      <c r="F266" s="309" t="s">
        <v>576</v>
      </c>
      <c r="G266" s="310"/>
      <c r="H266" s="311"/>
      <c r="I266" s="310"/>
      <c r="J266" s="317">
        <v>0.25</v>
      </c>
      <c r="K266" s="310"/>
      <c r="L266" s="310">
        <f t="shared" si="9"/>
        <v>2500000</v>
      </c>
      <c r="M266" s="310"/>
      <c r="N266" s="310">
        <v>2500000</v>
      </c>
      <c r="O266" s="310"/>
      <c r="P266" s="310"/>
      <c r="Q266" s="310">
        <f t="shared" si="8"/>
        <v>2500000</v>
      </c>
      <c r="R266" s="108"/>
      <c r="S266" s="384"/>
      <c r="T266" s="372">
        <v>41639</v>
      </c>
      <c r="U266" s="135"/>
      <c r="V266" s="135"/>
      <c r="W266" s="135"/>
      <c r="X266" s="135"/>
      <c r="Y266" s="135"/>
      <c r="Z266" s="135"/>
    </row>
    <row r="267" spans="1:26" s="15" customFormat="1" ht="108">
      <c r="A267" s="467"/>
      <c r="B267" s="470"/>
      <c r="C267" s="134">
        <v>0</v>
      </c>
      <c r="D267" s="518"/>
      <c r="E267" s="313" t="s">
        <v>234</v>
      </c>
      <c r="F267" s="309" t="s">
        <v>577</v>
      </c>
      <c r="G267" s="310"/>
      <c r="H267" s="311" t="s">
        <v>652</v>
      </c>
      <c r="I267" s="310"/>
      <c r="J267" s="312">
        <v>0</v>
      </c>
      <c r="K267" s="310"/>
      <c r="L267" s="310">
        <f t="shared" si="9"/>
        <v>500000</v>
      </c>
      <c r="M267" s="310"/>
      <c r="N267" s="310">
        <v>500000</v>
      </c>
      <c r="O267" s="310"/>
      <c r="P267" s="310"/>
      <c r="Q267" s="310">
        <f t="shared" si="8"/>
        <v>500000</v>
      </c>
      <c r="R267" s="108"/>
      <c r="S267" s="384"/>
      <c r="T267" s="372">
        <v>41639</v>
      </c>
      <c r="U267" s="135"/>
      <c r="V267" s="135"/>
      <c r="W267" s="135"/>
      <c r="X267" s="135"/>
      <c r="Y267" s="135"/>
      <c r="Z267" s="135"/>
    </row>
    <row r="268" spans="1:26" s="12" customFormat="1" ht="72">
      <c r="A268" s="467"/>
      <c r="B268" s="470"/>
      <c r="C268" s="119">
        <v>10</v>
      </c>
      <c r="D268" s="518"/>
      <c r="E268" s="313" t="s">
        <v>235</v>
      </c>
      <c r="F268" s="309" t="s">
        <v>524</v>
      </c>
      <c r="G268" s="310"/>
      <c r="H268" s="311"/>
      <c r="I268" s="310"/>
      <c r="J268" s="317">
        <v>0.25</v>
      </c>
      <c r="K268" s="310"/>
      <c r="L268" s="310">
        <f t="shared" si="9"/>
        <v>2000000</v>
      </c>
      <c r="M268" s="310"/>
      <c r="N268" s="310">
        <v>2000000</v>
      </c>
      <c r="O268" s="310"/>
      <c r="P268" s="310"/>
      <c r="Q268" s="310">
        <f t="shared" si="8"/>
        <v>2000000</v>
      </c>
      <c r="R268" s="108"/>
      <c r="S268" s="120"/>
      <c r="T268" s="372">
        <v>41639</v>
      </c>
      <c r="U268" s="133"/>
      <c r="V268" s="133"/>
      <c r="W268" s="133"/>
      <c r="X268" s="133"/>
      <c r="Y268" s="133"/>
      <c r="Z268" s="133"/>
    </row>
    <row r="269" spans="1:26" s="12" customFormat="1" ht="72">
      <c r="A269" s="467"/>
      <c r="B269" s="470"/>
      <c r="C269" s="119">
        <v>10</v>
      </c>
      <c r="D269" s="518"/>
      <c r="E269" s="313" t="s">
        <v>236</v>
      </c>
      <c r="F269" s="309" t="s">
        <v>578</v>
      </c>
      <c r="G269" s="310"/>
      <c r="H269" s="311"/>
      <c r="I269" s="310"/>
      <c r="J269" s="312">
        <v>100</v>
      </c>
      <c r="K269" s="310"/>
      <c r="L269" s="310">
        <f t="shared" si="9"/>
        <v>500000</v>
      </c>
      <c r="M269" s="310"/>
      <c r="N269" s="310">
        <v>500000</v>
      </c>
      <c r="O269" s="310"/>
      <c r="P269" s="310"/>
      <c r="Q269" s="310">
        <f t="shared" si="8"/>
        <v>500000</v>
      </c>
      <c r="R269" s="108"/>
      <c r="S269" s="120"/>
      <c r="T269" s="372">
        <v>41639</v>
      </c>
      <c r="U269" s="133"/>
      <c r="V269" s="133"/>
      <c r="W269" s="133"/>
      <c r="X269" s="133"/>
      <c r="Y269" s="133"/>
      <c r="Z269" s="133"/>
    </row>
    <row r="270" spans="1:26" s="12" customFormat="1" ht="48">
      <c r="A270" s="467"/>
      <c r="B270" s="470"/>
      <c r="C270" s="119">
        <v>10</v>
      </c>
      <c r="D270" s="518"/>
      <c r="E270" s="313" t="s">
        <v>237</v>
      </c>
      <c r="F270" s="309" t="s">
        <v>579</v>
      </c>
      <c r="G270" s="310"/>
      <c r="H270" s="311"/>
      <c r="I270" s="310"/>
      <c r="J270" s="312">
        <v>50</v>
      </c>
      <c r="K270" s="310"/>
      <c r="L270" s="310">
        <f t="shared" si="9"/>
        <v>0</v>
      </c>
      <c r="M270" s="310"/>
      <c r="N270" s="310"/>
      <c r="O270" s="310"/>
      <c r="P270" s="310"/>
      <c r="Q270" s="310">
        <f t="shared" si="8"/>
        <v>0</v>
      </c>
      <c r="R270" s="108"/>
      <c r="S270" s="120"/>
      <c r="T270" s="372">
        <v>41639</v>
      </c>
      <c r="U270" s="133"/>
      <c r="V270" s="133"/>
      <c r="W270" s="133"/>
      <c r="X270" s="133"/>
      <c r="Y270" s="133"/>
      <c r="Z270" s="133"/>
    </row>
    <row r="271" spans="1:26" s="12" customFormat="1" ht="60">
      <c r="A271" s="467"/>
      <c r="B271" s="470"/>
      <c r="C271" s="119">
        <v>10</v>
      </c>
      <c r="D271" s="518"/>
      <c r="E271" s="313" t="s">
        <v>307</v>
      </c>
      <c r="F271" s="309" t="s">
        <v>580</v>
      </c>
      <c r="G271" s="310"/>
      <c r="H271" s="311" t="s">
        <v>653</v>
      </c>
      <c r="I271" s="310"/>
      <c r="J271" s="317">
        <v>0.25</v>
      </c>
      <c r="K271" s="310"/>
      <c r="L271" s="310">
        <f t="shared" si="9"/>
        <v>0</v>
      </c>
      <c r="M271" s="310"/>
      <c r="N271" s="310"/>
      <c r="O271" s="310"/>
      <c r="P271" s="310"/>
      <c r="Q271" s="310">
        <f t="shared" si="8"/>
        <v>0</v>
      </c>
      <c r="R271" s="108"/>
      <c r="S271" s="120"/>
      <c r="T271" s="372">
        <v>41639</v>
      </c>
      <c r="U271" s="133"/>
      <c r="V271" s="133"/>
      <c r="W271" s="133"/>
      <c r="X271" s="133"/>
      <c r="Y271" s="133"/>
      <c r="Z271" s="133"/>
    </row>
    <row r="272" spans="1:26" s="12" customFormat="1" ht="48">
      <c r="A272" s="467"/>
      <c r="B272" s="470"/>
      <c r="C272" s="119">
        <v>10</v>
      </c>
      <c r="D272" s="518"/>
      <c r="E272" s="313" t="s">
        <v>308</v>
      </c>
      <c r="F272" s="309" t="s">
        <v>581</v>
      </c>
      <c r="G272" s="310"/>
      <c r="H272" s="311"/>
      <c r="I272" s="310"/>
      <c r="J272" s="317">
        <v>0.25</v>
      </c>
      <c r="K272" s="310"/>
      <c r="L272" s="310">
        <f t="shared" si="9"/>
        <v>0</v>
      </c>
      <c r="M272" s="310"/>
      <c r="N272" s="310"/>
      <c r="O272" s="310"/>
      <c r="P272" s="310"/>
      <c r="Q272" s="310">
        <f t="shared" si="8"/>
        <v>0</v>
      </c>
      <c r="R272" s="108"/>
      <c r="S272" s="120"/>
      <c r="T272" s="372">
        <v>41639</v>
      </c>
      <c r="U272" s="133"/>
      <c r="V272" s="133"/>
      <c r="W272" s="133"/>
      <c r="X272" s="133"/>
      <c r="Y272" s="133"/>
      <c r="Z272" s="133"/>
    </row>
    <row r="273" spans="1:26" s="12" customFormat="1" ht="15">
      <c r="A273" s="468"/>
      <c r="B273" s="471"/>
      <c r="C273" s="119">
        <f>SUM(C261:C272)</f>
        <v>100</v>
      </c>
      <c r="D273" s="518"/>
      <c r="E273" s="316" t="s">
        <v>342</v>
      </c>
      <c r="F273" s="309"/>
      <c r="G273" s="310"/>
      <c r="H273" s="311"/>
      <c r="I273" s="310"/>
      <c r="J273" s="312"/>
      <c r="K273" s="310"/>
      <c r="L273" s="310">
        <f t="shared" si="9"/>
        <v>0</v>
      </c>
      <c r="M273" s="310"/>
      <c r="N273" s="310"/>
      <c r="O273" s="310"/>
      <c r="P273" s="310"/>
      <c r="Q273" s="310">
        <f t="shared" si="8"/>
        <v>0</v>
      </c>
      <c r="R273" s="108"/>
      <c r="S273" s="120"/>
      <c r="T273" s="372">
        <v>41639</v>
      </c>
      <c r="U273" s="133"/>
      <c r="V273" s="133"/>
      <c r="W273" s="133"/>
      <c r="X273" s="133"/>
      <c r="Y273" s="133"/>
      <c r="Z273" s="133"/>
    </row>
    <row r="274" spans="1:26" s="12" customFormat="1" ht="39.75" customHeight="1">
      <c r="A274" s="466">
        <v>20</v>
      </c>
      <c r="B274" s="472" t="s">
        <v>614</v>
      </c>
      <c r="C274" s="119"/>
      <c r="D274" s="393" t="s">
        <v>309</v>
      </c>
      <c r="E274" s="393"/>
      <c r="F274" s="110"/>
      <c r="G274" s="113"/>
      <c r="H274" s="120"/>
      <c r="I274" s="113"/>
      <c r="J274" s="144"/>
      <c r="K274" s="113"/>
      <c r="L274" s="152">
        <f t="shared" si="9"/>
        <v>0</v>
      </c>
      <c r="M274" s="113"/>
      <c r="N274" s="113"/>
      <c r="O274" s="113"/>
      <c r="P274" s="113"/>
      <c r="Q274" s="152">
        <f t="shared" si="8"/>
        <v>0</v>
      </c>
      <c r="R274" s="108"/>
      <c r="S274" s="120"/>
      <c r="T274" s="372">
        <v>41639</v>
      </c>
      <c r="U274" s="133"/>
      <c r="V274" s="133"/>
      <c r="W274" s="133"/>
      <c r="X274" s="133"/>
      <c r="Y274" s="133"/>
      <c r="Z274" s="133"/>
    </row>
    <row r="275" spans="1:26" s="49" customFormat="1" ht="103.5" customHeight="1">
      <c r="A275" s="467"/>
      <c r="B275" s="473"/>
      <c r="C275" s="115">
        <v>10</v>
      </c>
      <c r="D275" s="403" t="s">
        <v>238</v>
      </c>
      <c r="E275" s="45" t="s">
        <v>310</v>
      </c>
      <c r="F275" s="110" t="s">
        <v>582</v>
      </c>
      <c r="G275" s="112"/>
      <c r="H275" s="108"/>
      <c r="I275" s="112"/>
      <c r="J275" s="141">
        <v>10</v>
      </c>
      <c r="K275" s="112"/>
      <c r="L275" s="152">
        <f t="shared" si="9"/>
        <v>0</v>
      </c>
      <c r="M275" s="112"/>
      <c r="N275" s="112"/>
      <c r="O275" s="112"/>
      <c r="P275" s="112"/>
      <c r="Q275" s="152">
        <f t="shared" si="8"/>
        <v>0</v>
      </c>
      <c r="R275" s="108"/>
      <c r="S275" s="108"/>
      <c r="T275" s="372">
        <v>41639</v>
      </c>
      <c r="U275" s="130"/>
      <c r="V275" s="130"/>
      <c r="W275" s="130"/>
      <c r="X275" s="130"/>
      <c r="Y275" s="130"/>
      <c r="Z275" s="130"/>
    </row>
    <row r="276" spans="1:26" s="49" customFormat="1" ht="63" customHeight="1">
      <c r="A276" s="467"/>
      <c r="B276" s="473"/>
      <c r="C276" s="525">
        <v>30</v>
      </c>
      <c r="D276" s="403"/>
      <c r="E276" s="411" t="s">
        <v>311</v>
      </c>
      <c r="F276" s="573" t="s">
        <v>583</v>
      </c>
      <c r="G276" s="112"/>
      <c r="H276" s="151" t="s">
        <v>689</v>
      </c>
      <c r="I276" s="112" t="s">
        <v>621</v>
      </c>
      <c r="J276" s="549">
        <v>4</v>
      </c>
      <c r="K276" s="118">
        <v>1</v>
      </c>
      <c r="L276" s="152">
        <f t="shared" si="9"/>
        <v>0</v>
      </c>
      <c r="M276" s="136"/>
      <c r="N276" s="112"/>
      <c r="O276" s="112"/>
      <c r="P276" s="112"/>
      <c r="Q276" s="152">
        <f t="shared" si="8"/>
        <v>0</v>
      </c>
      <c r="R276" s="108" t="s">
        <v>744</v>
      </c>
      <c r="S276" s="108" t="s">
        <v>625</v>
      </c>
      <c r="T276" s="372">
        <v>41639</v>
      </c>
      <c r="U276" s="130"/>
      <c r="V276" s="130"/>
      <c r="W276" s="130"/>
      <c r="X276" s="130"/>
      <c r="Y276" s="130"/>
      <c r="Z276" s="130"/>
    </row>
    <row r="277" spans="1:26" s="49" customFormat="1" ht="75" customHeight="1">
      <c r="A277" s="467"/>
      <c r="B277" s="473"/>
      <c r="C277" s="526"/>
      <c r="D277" s="403"/>
      <c r="E277" s="413"/>
      <c r="F277" s="574"/>
      <c r="G277" s="112"/>
      <c r="H277" s="151" t="s">
        <v>704</v>
      </c>
      <c r="I277" s="112" t="s">
        <v>628</v>
      </c>
      <c r="J277" s="551"/>
      <c r="K277" s="118"/>
      <c r="L277" s="152">
        <f t="shared" si="9"/>
        <v>0</v>
      </c>
      <c r="M277" s="112"/>
      <c r="N277" s="112"/>
      <c r="O277" s="112"/>
      <c r="P277" s="112"/>
      <c r="Q277" s="152">
        <f t="shared" si="8"/>
        <v>0</v>
      </c>
      <c r="R277" s="108" t="s">
        <v>745</v>
      </c>
      <c r="S277" s="108"/>
      <c r="T277" s="372">
        <v>41639</v>
      </c>
      <c r="U277" s="130"/>
      <c r="V277" s="130"/>
      <c r="W277" s="130"/>
      <c r="X277" s="130"/>
      <c r="Y277" s="130"/>
      <c r="Z277" s="130"/>
    </row>
    <row r="278" spans="1:26" s="49" customFormat="1" ht="39.75" customHeight="1">
      <c r="A278" s="467"/>
      <c r="B278" s="473"/>
      <c r="C278" s="115">
        <v>10</v>
      </c>
      <c r="D278" s="403"/>
      <c r="E278" s="45" t="s">
        <v>239</v>
      </c>
      <c r="F278" s="110" t="s">
        <v>584</v>
      </c>
      <c r="G278" s="112"/>
      <c r="H278" s="108"/>
      <c r="I278" s="112"/>
      <c r="J278" s="141">
        <v>1</v>
      </c>
      <c r="K278" s="112"/>
      <c r="L278" s="152">
        <f t="shared" si="9"/>
        <v>0</v>
      </c>
      <c r="M278" s="112"/>
      <c r="N278" s="112"/>
      <c r="O278" s="112"/>
      <c r="P278" s="112"/>
      <c r="Q278" s="152">
        <f t="shared" si="8"/>
        <v>0</v>
      </c>
      <c r="R278" s="108"/>
      <c r="S278" s="108"/>
      <c r="T278" s="372">
        <v>41639</v>
      </c>
      <c r="U278" s="130"/>
      <c r="V278" s="130"/>
      <c r="W278" s="130"/>
      <c r="X278" s="130"/>
      <c r="Y278" s="130"/>
      <c r="Z278" s="130"/>
    </row>
    <row r="279" spans="1:26" s="49" customFormat="1" ht="39.75" customHeight="1">
      <c r="A279" s="467"/>
      <c r="B279" s="473"/>
      <c r="C279" s="115">
        <v>30</v>
      </c>
      <c r="D279" s="403"/>
      <c r="E279" s="45" t="s">
        <v>240</v>
      </c>
      <c r="F279" s="110" t="s">
        <v>585</v>
      </c>
      <c r="G279" s="112"/>
      <c r="H279" s="108"/>
      <c r="I279" s="112"/>
      <c r="J279" s="141">
        <v>1</v>
      </c>
      <c r="K279" s="112"/>
      <c r="L279" s="152">
        <f t="shared" si="9"/>
        <v>0</v>
      </c>
      <c r="M279" s="112"/>
      <c r="N279" s="112"/>
      <c r="O279" s="112"/>
      <c r="P279" s="112"/>
      <c r="Q279" s="152">
        <f t="shared" si="8"/>
        <v>0</v>
      </c>
      <c r="R279" s="108"/>
      <c r="S279" s="108"/>
      <c r="T279" s="372">
        <v>41639</v>
      </c>
      <c r="U279" s="130"/>
      <c r="V279" s="130"/>
      <c r="W279" s="130"/>
      <c r="X279" s="130"/>
      <c r="Y279" s="130"/>
      <c r="Z279" s="130"/>
    </row>
    <row r="280" spans="1:26" s="49" customFormat="1" ht="39.75" customHeight="1">
      <c r="A280" s="467"/>
      <c r="B280" s="473"/>
      <c r="C280" s="115">
        <v>20</v>
      </c>
      <c r="D280" s="403"/>
      <c r="E280" s="45" t="s">
        <v>241</v>
      </c>
      <c r="F280" s="110" t="s">
        <v>586</v>
      </c>
      <c r="G280" s="112"/>
      <c r="H280" s="108"/>
      <c r="I280" s="112"/>
      <c r="J280" s="141">
        <v>1</v>
      </c>
      <c r="K280" s="112"/>
      <c r="L280" s="152">
        <f t="shared" si="9"/>
        <v>0</v>
      </c>
      <c r="M280" s="112"/>
      <c r="N280" s="112"/>
      <c r="O280" s="112"/>
      <c r="P280" s="112"/>
      <c r="Q280" s="152">
        <f t="shared" si="8"/>
        <v>0</v>
      </c>
      <c r="R280" s="108"/>
      <c r="S280" s="108"/>
      <c r="T280" s="372">
        <v>41639</v>
      </c>
      <c r="U280" s="130"/>
      <c r="V280" s="130"/>
      <c r="W280" s="130"/>
      <c r="X280" s="130"/>
      <c r="Y280" s="130"/>
      <c r="Z280" s="130"/>
    </row>
    <row r="281" spans="1:26" s="12" customFormat="1" ht="39.75" customHeight="1">
      <c r="A281" s="467"/>
      <c r="B281" s="473"/>
      <c r="C281" s="119">
        <f>SUM(C275:C280)</f>
        <v>100</v>
      </c>
      <c r="D281" s="403"/>
      <c r="E281" s="31" t="s">
        <v>342</v>
      </c>
      <c r="F281" s="110"/>
      <c r="G281" s="113"/>
      <c r="H281" s="120"/>
      <c r="I281" s="113"/>
      <c r="J281" s="144"/>
      <c r="K281" s="113"/>
      <c r="L281" s="152">
        <f t="shared" si="9"/>
        <v>0</v>
      </c>
      <c r="M281" s="113"/>
      <c r="N281" s="113"/>
      <c r="O281" s="113"/>
      <c r="P281" s="113"/>
      <c r="Q281" s="152">
        <f t="shared" si="8"/>
        <v>0</v>
      </c>
      <c r="R281" s="108"/>
      <c r="S281" s="120"/>
      <c r="T281" s="372">
        <v>41639</v>
      </c>
      <c r="U281" s="133"/>
      <c r="V281" s="133"/>
      <c r="W281" s="133"/>
      <c r="X281" s="133"/>
      <c r="Y281" s="133"/>
      <c r="Z281" s="133"/>
    </row>
    <row r="282" spans="1:26" s="12" customFormat="1" ht="39.75" customHeight="1">
      <c r="A282" s="467"/>
      <c r="B282" s="473"/>
      <c r="C282" s="119"/>
      <c r="D282" s="516" t="s">
        <v>312</v>
      </c>
      <c r="E282" s="516"/>
      <c r="F282" s="300"/>
      <c r="G282" s="301"/>
      <c r="H282" s="302"/>
      <c r="I282" s="301"/>
      <c r="J282" s="303"/>
      <c r="K282" s="301"/>
      <c r="L282" s="301">
        <f t="shared" si="9"/>
        <v>0</v>
      </c>
      <c r="M282" s="301"/>
      <c r="N282" s="301"/>
      <c r="O282" s="301"/>
      <c r="P282" s="301"/>
      <c r="Q282" s="301">
        <f t="shared" si="8"/>
        <v>0</v>
      </c>
      <c r="R282" s="108"/>
      <c r="S282" s="120"/>
      <c r="T282" s="372">
        <v>41639</v>
      </c>
      <c r="U282" s="133"/>
      <c r="V282" s="133"/>
      <c r="W282" s="133"/>
      <c r="X282" s="133"/>
      <c r="Y282" s="133"/>
      <c r="Z282" s="133"/>
    </row>
    <row r="283" spans="1:26" s="203" customFormat="1" ht="56.25" customHeight="1">
      <c r="A283" s="467"/>
      <c r="B283" s="473"/>
      <c r="C283" s="199">
        <v>0</v>
      </c>
      <c r="D283" s="516" t="s">
        <v>242</v>
      </c>
      <c r="E283" s="304" t="s">
        <v>80</v>
      </c>
      <c r="F283" s="300" t="s">
        <v>587</v>
      </c>
      <c r="G283" s="301"/>
      <c r="H283" s="302"/>
      <c r="I283" s="301"/>
      <c r="J283" s="303">
        <v>0</v>
      </c>
      <c r="K283" s="301"/>
      <c r="L283" s="301">
        <f t="shared" si="9"/>
        <v>500000</v>
      </c>
      <c r="M283" s="301"/>
      <c r="N283" s="301">
        <v>500000</v>
      </c>
      <c r="O283" s="301"/>
      <c r="P283" s="301"/>
      <c r="Q283" s="301">
        <f t="shared" si="8"/>
        <v>500000</v>
      </c>
      <c r="R283" s="382"/>
      <c r="S283" s="382"/>
      <c r="T283" s="372">
        <v>41639</v>
      </c>
      <c r="U283" s="202"/>
      <c r="V283" s="202"/>
      <c r="W283" s="202"/>
      <c r="X283" s="202"/>
      <c r="Y283" s="202"/>
      <c r="Z283" s="202"/>
    </row>
    <row r="284" spans="1:26" s="203" customFormat="1" ht="39.75" customHeight="1">
      <c r="A284" s="467"/>
      <c r="B284" s="473"/>
      <c r="C284" s="199">
        <v>30</v>
      </c>
      <c r="D284" s="516"/>
      <c r="E284" s="304" t="s">
        <v>245</v>
      </c>
      <c r="F284" s="300" t="s">
        <v>588</v>
      </c>
      <c r="G284" s="301"/>
      <c r="H284" s="302"/>
      <c r="I284" s="301"/>
      <c r="J284" s="305">
        <v>1</v>
      </c>
      <c r="K284" s="301"/>
      <c r="L284" s="301">
        <f t="shared" si="9"/>
        <v>21057872</v>
      </c>
      <c r="M284" s="301"/>
      <c r="N284" s="301">
        <v>21057872</v>
      </c>
      <c r="O284" s="301"/>
      <c r="P284" s="301"/>
      <c r="Q284" s="301">
        <f t="shared" si="8"/>
        <v>21057872</v>
      </c>
      <c r="R284" s="382"/>
      <c r="S284" s="382"/>
      <c r="T284" s="372">
        <v>41639</v>
      </c>
      <c r="U284" s="202"/>
      <c r="V284" s="202"/>
      <c r="W284" s="202"/>
      <c r="X284" s="202"/>
      <c r="Y284" s="202"/>
      <c r="Z284" s="202"/>
    </row>
    <row r="285" spans="1:26" s="203" customFormat="1" ht="78.75" customHeight="1">
      <c r="A285" s="467"/>
      <c r="B285" s="473"/>
      <c r="C285" s="199">
        <v>30</v>
      </c>
      <c r="D285" s="516"/>
      <c r="E285" s="304" t="s">
        <v>247</v>
      </c>
      <c r="F285" s="300" t="s">
        <v>589</v>
      </c>
      <c r="G285" s="301"/>
      <c r="H285" s="302"/>
      <c r="I285" s="301"/>
      <c r="J285" s="305">
        <v>0.25</v>
      </c>
      <c r="K285" s="301"/>
      <c r="L285" s="301">
        <f t="shared" si="9"/>
        <v>45000000</v>
      </c>
      <c r="M285" s="301"/>
      <c r="N285" s="301">
        <v>45000000</v>
      </c>
      <c r="O285" s="301"/>
      <c r="P285" s="301"/>
      <c r="Q285" s="301">
        <f t="shared" si="8"/>
        <v>45000000</v>
      </c>
      <c r="R285" s="382"/>
      <c r="S285" s="382"/>
      <c r="T285" s="372">
        <v>41639</v>
      </c>
      <c r="U285" s="202"/>
      <c r="V285" s="202"/>
      <c r="W285" s="202"/>
      <c r="X285" s="202"/>
      <c r="Y285" s="202"/>
      <c r="Z285" s="202"/>
    </row>
    <row r="286" spans="1:26" s="203" customFormat="1" ht="55.5" customHeight="1">
      <c r="A286" s="467"/>
      <c r="B286" s="473"/>
      <c r="C286" s="199">
        <v>0</v>
      </c>
      <c r="D286" s="516"/>
      <c r="E286" s="304" t="s">
        <v>248</v>
      </c>
      <c r="F286" s="300" t="s">
        <v>590</v>
      </c>
      <c r="G286" s="301"/>
      <c r="H286" s="302"/>
      <c r="I286" s="301"/>
      <c r="J286" s="303">
        <v>0</v>
      </c>
      <c r="K286" s="301"/>
      <c r="L286" s="301">
        <f t="shared" si="9"/>
        <v>1000000</v>
      </c>
      <c r="M286" s="301"/>
      <c r="N286" s="301">
        <v>1000000</v>
      </c>
      <c r="O286" s="301"/>
      <c r="P286" s="301"/>
      <c r="Q286" s="301">
        <f t="shared" si="8"/>
        <v>1000000</v>
      </c>
      <c r="R286" s="382"/>
      <c r="S286" s="382"/>
      <c r="T286" s="372">
        <v>41639</v>
      </c>
      <c r="U286" s="202"/>
      <c r="V286" s="202"/>
      <c r="W286" s="202"/>
      <c r="X286" s="202"/>
      <c r="Y286" s="202"/>
      <c r="Z286" s="202"/>
    </row>
    <row r="287" spans="1:26" s="203" customFormat="1" ht="39.75" customHeight="1">
      <c r="A287" s="467"/>
      <c r="B287" s="473"/>
      <c r="C287" s="199">
        <v>40</v>
      </c>
      <c r="D287" s="516"/>
      <c r="E287" s="304" t="s">
        <v>246</v>
      </c>
      <c r="F287" s="300" t="s">
        <v>591</v>
      </c>
      <c r="G287" s="301"/>
      <c r="H287" s="302"/>
      <c r="I287" s="301"/>
      <c r="J287" s="305">
        <v>0.25</v>
      </c>
      <c r="K287" s="301"/>
      <c r="L287" s="301">
        <f t="shared" si="9"/>
        <v>15000000</v>
      </c>
      <c r="M287" s="301"/>
      <c r="N287" s="301">
        <v>15000000</v>
      </c>
      <c r="O287" s="301"/>
      <c r="P287" s="301"/>
      <c r="Q287" s="301">
        <f t="shared" si="8"/>
        <v>15000000</v>
      </c>
      <c r="R287" s="382"/>
      <c r="S287" s="382"/>
      <c r="T287" s="372">
        <v>41639</v>
      </c>
      <c r="U287" s="202"/>
      <c r="V287" s="202"/>
      <c r="W287" s="202"/>
      <c r="X287" s="202"/>
      <c r="Y287" s="202"/>
      <c r="Z287" s="202"/>
    </row>
    <row r="288" spans="1:26" s="12" customFormat="1" ht="39.75" customHeight="1">
      <c r="A288" s="467"/>
      <c r="B288" s="473"/>
      <c r="C288" s="119">
        <f>SUM(C283:C287)</f>
        <v>100</v>
      </c>
      <c r="D288" s="516"/>
      <c r="E288" s="306" t="s">
        <v>342</v>
      </c>
      <c r="F288" s="300"/>
      <c r="G288" s="301"/>
      <c r="H288" s="302"/>
      <c r="I288" s="301"/>
      <c r="J288" s="303"/>
      <c r="K288" s="301"/>
      <c r="L288" s="301">
        <f t="shared" si="9"/>
        <v>0</v>
      </c>
      <c r="M288" s="301"/>
      <c r="N288" s="301"/>
      <c r="O288" s="301"/>
      <c r="P288" s="301"/>
      <c r="Q288" s="301">
        <f t="shared" si="8"/>
        <v>0</v>
      </c>
      <c r="R288" s="108"/>
      <c r="S288" s="120"/>
      <c r="T288" s="372">
        <v>41639</v>
      </c>
      <c r="U288" s="133"/>
      <c r="V288" s="133"/>
      <c r="W288" s="133"/>
      <c r="X288" s="133"/>
      <c r="Y288" s="133"/>
      <c r="Z288" s="133"/>
    </row>
    <row r="289" spans="1:26" s="12" customFormat="1" ht="39.75" customHeight="1">
      <c r="A289" s="467"/>
      <c r="B289" s="473"/>
      <c r="C289" s="119"/>
      <c r="D289" s="517" t="s">
        <v>73</v>
      </c>
      <c r="E289" s="517"/>
      <c r="F289" s="206"/>
      <c r="G289" s="204"/>
      <c r="H289" s="205"/>
      <c r="I289" s="204"/>
      <c r="J289" s="216"/>
      <c r="K289" s="204"/>
      <c r="L289" s="204">
        <f t="shared" si="9"/>
        <v>0</v>
      </c>
      <c r="M289" s="204"/>
      <c r="N289" s="204"/>
      <c r="O289" s="204"/>
      <c r="P289" s="204"/>
      <c r="Q289" s="204">
        <f t="shared" si="8"/>
        <v>0</v>
      </c>
      <c r="R289" s="108"/>
      <c r="S289" s="120"/>
      <c r="T289" s="372">
        <v>41639</v>
      </c>
      <c r="U289" s="133"/>
      <c r="V289" s="133"/>
      <c r="W289" s="133"/>
      <c r="X289" s="133"/>
      <c r="Y289" s="133"/>
      <c r="Z289" s="133"/>
    </row>
    <row r="290" spans="1:26" s="208" customFormat="1" ht="59.25" customHeight="1">
      <c r="A290" s="467"/>
      <c r="B290" s="473"/>
      <c r="C290" s="527">
        <v>10</v>
      </c>
      <c r="D290" s="521" t="s">
        <v>249</v>
      </c>
      <c r="E290" s="523" t="s">
        <v>313</v>
      </c>
      <c r="F290" s="606" t="s">
        <v>592</v>
      </c>
      <c r="G290" s="204"/>
      <c r="H290" s="205" t="s">
        <v>690</v>
      </c>
      <c r="I290" s="206" t="s">
        <v>592</v>
      </c>
      <c r="J290" s="588">
        <v>0.06</v>
      </c>
      <c r="K290" s="588">
        <v>0.03</v>
      </c>
      <c r="L290" s="204">
        <f t="shared" si="9"/>
        <v>0</v>
      </c>
      <c r="M290" s="204"/>
      <c r="N290" s="204"/>
      <c r="O290" s="204"/>
      <c r="P290" s="204"/>
      <c r="Q290" s="204">
        <f t="shared" si="8"/>
        <v>0</v>
      </c>
      <c r="R290" s="205" t="s">
        <v>746</v>
      </c>
      <c r="S290" s="205" t="s">
        <v>620</v>
      </c>
      <c r="T290" s="372">
        <v>41639</v>
      </c>
      <c r="U290" s="207"/>
      <c r="V290" s="207"/>
      <c r="W290" s="207"/>
      <c r="X290" s="207"/>
      <c r="Y290" s="207"/>
      <c r="Z290" s="207"/>
    </row>
    <row r="291" spans="1:26" s="208" customFormat="1" ht="39.75" customHeight="1">
      <c r="A291" s="467"/>
      <c r="B291" s="473"/>
      <c r="C291" s="528"/>
      <c r="D291" s="522"/>
      <c r="E291" s="524"/>
      <c r="F291" s="607"/>
      <c r="G291" s="204"/>
      <c r="H291" s="205" t="s">
        <v>691</v>
      </c>
      <c r="I291" s="206" t="s">
        <v>637</v>
      </c>
      <c r="J291" s="589"/>
      <c r="K291" s="589"/>
      <c r="L291" s="204">
        <f t="shared" si="9"/>
        <v>0</v>
      </c>
      <c r="M291" s="204"/>
      <c r="N291" s="204"/>
      <c r="O291" s="204"/>
      <c r="P291" s="204"/>
      <c r="Q291" s="204">
        <f t="shared" si="8"/>
        <v>0</v>
      </c>
      <c r="R291" s="205" t="s">
        <v>746</v>
      </c>
      <c r="S291" s="205" t="s">
        <v>620</v>
      </c>
      <c r="T291" s="372">
        <v>41639</v>
      </c>
      <c r="U291" s="207"/>
      <c r="V291" s="207"/>
      <c r="W291" s="207"/>
      <c r="X291" s="207"/>
      <c r="Y291" s="207"/>
      <c r="Z291" s="207"/>
    </row>
    <row r="292" spans="1:26" s="208" customFormat="1" ht="39.75" customHeight="1">
      <c r="A292" s="467"/>
      <c r="B292" s="473"/>
      <c r="C292" s="528"/>
      <c r="D292" s="522"/>
      <c r="E292" s="524"/>
      <c r="F292" s="607"/>
      <c r="G292" s="204"/>
      <c r="H292" s="205" t="s">
        <v>692</v>
      </c>
      <c r="I292" s="206" t="s">
        <v>637</v>
      </c>
      <c r="J292" s="589"/>
      <c r="K292" s="589"/>
      <c r="L292" s="204">
        <f t="shared" si="9"/>
        <v>0</v>
      </c>
      <c r="M292" s="204"/>
      <c r="N292" s="204"/>
      <c r="O292" s="204"/>
      <c r="P292" s="204"/>
      <c r="Q292" s="204">
        <f t="shared" si="8"/>
        <v>0</v>
      </c>
      <c r="R292" s="205" t="s">
        <v>746</v>
      </c>
      <c r="S292" s="205" t="s">
        <v>620</v>
      </c>
      <c r="T292" s="372">
        <v>41639</v>
      </c>
      <c r="U292" s="207"/>
      <c r="V292" s="207"/>
      <c r="W292" s="207"/>
      <c r="X292" s="207"/>
      <c r="Y292" s="207"/>
      <c r="Z292" s="207"/>
    </row>
    <row r="293" spans="1:26" s="208" customFormat="1" ht="43.5" customHeight="1">
      <c r="A293" s="467"/>
      <c r="B293" s="473"/>
      <c r="C293" s="528"/>
      <c r="D293" s="522"/>
      <c r="E293" s="524"/>
      <c r="F293" s="607"/>
      <c r="G293" s="204"/>
      <c r="H293" s="205" t="s">
        <v>693</v>
      </c>
      <c r="I293" s="206" t="s">
        <v>637</v>
      </c>
      <c r="J293" s="589"/>
      <c r="K293" s="589"/>
      <c r="L293" s="204">
        <f t="shared" si="9"/>
        <v>0</v>
      </c>
      <c r="M293" s="204"/>
      <c r="N293" s="204"/>
      <c r="O293" s="204"/>
      <c r="P293" s="204"/>
      <c r="Q293" s="204">
        <f t="shared" si="8"/>
        <v>0</v>
      </c>
      <c r="R293" s="205" t="s">
        <v>746</v>
      </c>
      <c r="S293" s="205" t="s">
        <v>620</v>
      </c>
      <c r="T293" s="372">
        <v>41639</v>
      </c>
      <c r="U293" s="207"/>
      <c r="V293" s="207"/>
      <c r="W293" s="207"/>
      <c r="X293" s="207"/>
      <c r="Y293" s="207"/>
      <c r="Z293" s="207"/>
    </row>
    <row r="294" spans="1:26" s="208" customFormat="1" ht="43.5" customHeight="1">
      <c r="A294" s="467"/>
      <c r="B294" s="473"/>
      <c r="C294" s="528"/>
      <c r="D294" s="522"/>
      <c r="E294" s="524"/>
      <c r="F294" s="607"/>
      <c r="G294" s="204"/>
      <c r="H294" s="205" t="s">
        <v>694</v>
      </c>
      <c r="I294" s="206" t="s">
        <v>638</v>
      </c>
      <c r="J294" s="589"/>
      <c r="K294" s="589"/>
      <c r="L294" s="204">
        <f t="shared" si="9"/>
        <v>69500000</v>
      </c>
      <c r="M294" s="204"/>
      <c r="N294" s="204">
        <v>69500000</v>
      </c>
      <c r="O294" s="204"/>
      <c r="P294" s="204"/>
      <c r="Q294" s="204">
        <f t="shared" si="8"/>
        <v>69500000</v>
      </c>
      <c r="R294" s="205" t="s">
        <v>746</v>
      </c>
      <c r="S294" s="205" t="s">
        <v>620</v>
      </c>
      <c r="T294" s="372">
        <v>41639</v>
      </c>
      <c r="U294" s="207"/>
      <c r="V294" s="207"/>
      <c r="W294" s="207"/>
      <c r="X294" s="207"/>
      <c r="Y294" s="207"/>
      <c r="Z294" s="207"/>
    </row>
    <row r="295" spans="1:26" s="208" customFormat="1" ht="48.75" customHeight="1">
      <c r="A295" s="467"/>
      <c r="B295" s="473"/>
      <c r="C295" s="528"/>
      <c r="D295" s="522"/>
      <c r="E295" s="524"/>
      <c r="F295" s="607"/>
      <c r="G295" s="204"/>
      <c r="H295" s="205" t="s">
        <v>714</v>
      </c>
      <c r="I295" s="206" t="s">
        <v>637</v>
      </c>
      <c r="J295" s="589"/>
      <c r="K295" s="589"/>
      <c r="L295" s="204">
        <f t="shared" si="9"/>
        <v>0</v>
      </c>
      <c r="M295" s="204"/>
      <c r="N295" s="204"/>
      <c r="O295" s="204"/>
      <c r="P295" s="204"/>
      <c r="Q295" s="204">
        <f t="shared" si="8"/>
        <v>0</v>
      </c>
      <c r="R295" s="205" t="s">
        <v>739</v>
      </c>
      <c r="S295" s="205" t="s">
        <v>623</v>
      </c>
      <c r="T295" s="372">
        <v>41639</v>
      </c>
      <c r="U295" s="207"/>
      <c r="V295" s="207"/>
      <c r="W295" s="207"/>
      <c r="X295" s="207"/>
      <c r="Y295" s="207"/>
      <c r="Z295" s="207"/>
    </row>
    <row r="296" spans="1:26" s="208" customFormat="1" ht="51" customHeight="1">
      <c r="A296" s="467"/>
      <c r="B296" s="473"/>
      <c r="C296" s="528"/>
      <c r="D296" s="522"/>
      <c r="E296" s="524"/>
      <c r="F296" s="607"/>
      <c r="G296" s="204"/>
      <c r="H296" s="205" t="s">
        <v>715</v>
      </c>
      <c r="I296" s="206" t="s">
        <v>637</v>
      </c>
      <c r="J296" s="589"/>
      <c r="K296" s="589"/>
      <c r="L296" s="204">
        <f t="shared" si="9"/>
        <v>0</v>
      </c>
      <c r="M296" s="204"/>
      <c r="N296" s="204"/>
      <c r="O296" s="204"/>
      <c r="P296" s="204"/>
      <c r="Q296" s="204">
        <f t="shared" si="8"/>
        <v>0</v>
      </c>
      <c r="R296" s="205" t="s">
        <v>739</v>
      </c>
      <c r="S296" s="205" t="s">
        <v>620</v>
      </c>
      <c r="T296" s="372">
        <v>41639</v>
      </c>
      <c r="U296" s="207"/>
      <c r="V296" s="207"/>
      <c r="W296" s="207"/>
      <c r="X296" s="207"/>
      <c r="Y296" s="207"/>
      <c r="Z296" s="207"/>
    </row>
    <row r="297" spans="1:26" s="208" customFormat="1" ht="49.5" customHeight="1">
      <c r="A297" s="467"/>
      <c r="B297" s="473"/>
      <c r="C297" s="528"/>
      <c r="D297" s="522"/>
      <c r="E297" s="524"/>
      <c r="F297" s="607"/>
      <c r="G297" s="204"/>
      <c r="H297" s="205" t="s">
        <v>715</v>
      </c>
      <c r="I297" s="206" t="s">
        <v>637</v>
      </c>
      <c r="J297" s="589"/>
      <c r="K297" s="589"/>
      <c r="L297" s="204">
        <f t="shared" si="9"/>
        <v>0</v>
      </c>
      <c r="M297" s="204"/>
      <c r="N297" s="204"/>
      <c r="O297" s="204"/>
      <c r="P297" s="209"/>
      <c r="Q297" s="204">
        <f t="shared" si="8"/>
        <v>0</v>
      </c>
      <c r="R297" s="205" t="s">
        <v>739</v>
      </c>
      <c r="S297" s="205" t="s">
        <v>620</v>
      </c>
      <c r="T297" s="372">
        <v>41639</v>
      </c>
      <c r="U297" s="207"/>
      <c r="V297" s="207"/>
      <c r="W297" s="207"/>
      <c r="X297" s="207"/>
      <c r="Y297" s="207"/>
      <c r="Z297" s="207"/>
    </row>
    <row r="298" spans="1:26" s="208" customFormat="1" ht="43.5" customHeight="1">
      <c r="A298" s="467"/>
      <c r="B298" s="473"/>
      <c r="C298" s="528"/>
      <c r="D298" s="522"/>
      <c r="E298" s="524"/>
      <c r="F298" s="607"/>
      <c r="G298" s="204"/>
      <c r="H298" s="205" t="s">
        <v>695</v>
      </c>
      <c r="I298" s="206" t="s">
        <v>592</v>
      </c>
      <c r="J298" s="590"/>
      <c r="K298" s="590"/>
      <c r="L298" s="204">
        <f t="shared" si="9"/>
        <v>0</v>
      </c>
      <c r="M298" s="204"/>
      <c r="N298" s="204"/>
      <c r="O298" s="204"/>
      <c r="P298" s="204"/>
      <c r="Q298" s="204">
        <f t="shared" si="8"/>
        <v>0</v>
      </c>
      <c r="R298" s="210" t="s">
        <v>747</v>
      </c>
      <c r="S298" s="205" t="s">
        <v>623</v>
      </c>
      <c r="T298" s="372">
        <v>41639</v>
      </c>
      <c r="U298" s="207"/>
      <c r="V298" s="207"/>
      <c r="W298" s="207"/>
      <c r="X298" s="207"/>
      <c r="Y298" s="207"/>
      <c r="Z298" s="207"/>
    </row>
    <row r="299" spans="1:26" s="208" customFormat="1" ht="43.5" customHeight="1">
      <c r="A299" s="467"/>
      <c r="B299" s="473"/>
      <c r="C299" s="529"/>
      <c r="D299" s="522"/>
      <c r="E299" s="211"/>
      <c r="F299" s="222"/>
      <c r="G299" s="204"/>
      <c r="H299" s="205" t="s">
        <v>646</v>
      </c>
      <c r="I299" s="212"/>
      <c r="J299" s="221"/>
      <c r="K299" s="213"/>
      <c r="L299" s="204">
        <f t="shared" si="9"/>
        <v>0</v>
      </c>
      <c r="M299" s="204"/>
      <c r="N299" s="204"/>
      <c r="O299" s="204"/>
      <c r="P299" s="204"/>
      <c r="Q299" s="204">
        <f t="shared" si="8"/>
        <v>0</v>
      </c>
      <c r="R299" s="205"/>
      <c r="S299" s="205"/>
      <c r="T299" s="372">
        <v>41639</v>
      </c>
      <c r="U299" s="207"/>
      <c r="V299" s="207"/>
      <c r="W299" s="207"/>
      <c r="X299" s="207"/>
      <c r="Y299" s="207"/>
      <c r="Z299" s="207"/>
    </row>
    <row r="300" spans="1:26" s="208" customFormat="1" ht="39.75" customHeight="1">
      <c r="A300" s="467"/>
      <c r="B300" s="473"/>
      <c r="C300" s="214">
        <v>5</v>
      </c>
      <c r="D300" s="522"/>
      <c r="E300" s="215" t="s">
        <v>250</v>
      </c>
      <c r="F300" s="206" t="s">
        <v>593</v>
      </c>
      <c r="G300" s="204"/>
      <c r="H300" s="205"/>
      <c r="I300" s="204"/>
      <c r="J300" s="216">
        <v>1</v>
      </c>
      <c r="K300" s="204"/>
      <c r="L300" s="204">
        <f t="shared" si="9"/>
        <v>0</v>
      </c>
      <c r="M300" s="204"/>
      <c r="N300" s="204"/>
      <c r="O300" s="204"/>
      <c r="P300" s="204"/>
      <c r="Q300" s="204">
        <f t="shared" si="8"/>
        <v>0</v>
      </c>
      <c r="R300" s="205"/>
      <c r="S300" s="205"/>
      <c r="T300" s="372">
        <v>41639</v>
      </c>
      <c r="U300" s="207"/>
      <c r="V300" s="207"/>
      <c r="W300" s="207"/>
      <c r="X300" s="207"/>
      <c r="Y300" s="207"/>
      <c r="Z300" s="207"/>
    </row>
    <row r="301" spans="1:26" s="208" customFormat="1" ht="56.25" customHeight="1">
      <c r="A301" s="467"/>
      <c r="B301" s="473"/>
      <c r="C301" s="214">
        <v>5</v>
      </c>
      <c r="D301" s="522"/>
      <c r="E301" s="215" t="s">
        <v>251</v>
      </c>
      <c r="F301" s="206" t="s">
        <v>594</v>
      </c>
      <c r="G301" s="204"/>
      <c r="H301" s="205"/>
      <c r="I301" s="204"/>
      <c r="J301" s="216">
        <v>1</v>
      </c>
      <c r="K301" s="204"/>
      <c r="L301" s="204">
        <f t="shared" si="9"/>
        <v>0</v>
      </c>
      <c r="M301" s="204"/>
      <c r="N301" s="204"/>
      <c r="O301" s="204"/>
      <c r="P301" s="204"/>
      <c r="Q301" s="204">
        <f t="shared" si="8"/>
        <v>0</v>
      </c>
      <c r="R301" s="205"/>
      <c r="S301" s="205"/>
      <c r="T301" s="372">
        <v>41639</v>
      </c>
      <c r="U301" s="207"/>
      <c r="V301" s="207"/>
      <c r="W301" s="207"/>
      <c r="X301" s="207"/>
      <c r="Y301" s="207"/>
      <c r="Z301" s="207"/>
    </row>
    <row r="302" spans="1:26" s="208" customFormat="1" ht="84.75" customHeight="1">
      <c r="A302" s="467"/>
      <c r="B302" s="473"/>
      <c r="C302" s="457">
        <v>5</v>
      </c>
      <c r="D302" s="522"/>
      <c r="E302" s="460" t="s">
        <v>81</v>
      </c>
      <c r="F302" s="611" t="s">
        <v>595</v>
      </c>
      <c r="G302" s="204"/>
      <c r="H302" s="205" t="s">
        <v>696</v>
      </c>
      <c r="I302" s="206" t="s">
        <v>595</v>
      </c>
      <c r="J302" s="463">
        <v>0.25</v>
      </c>
      <c r="K302" s="588">
        <v>0.125</v>
      </c>
      <c r="L302" s="204">
        <f t="shared" si="9"/>
        <v>36000000</v>
      </c>
      <c r="M302" s="204"/>
      <c r="N302" s="204">
        <v>36000000</v>
      </c>
      <c r="O302" s="204"/>
      <c r="P302" s="204"/>
      <c r="Q302" s="204">
        <f t="shared" si="8"/>
        <v>36000000</v>
      </c>
      <c r="R302" s="205" t="s">
        <v>748</v>
      </c>
      <c r="S302" s="205" t="s">
        <v>620</v>
      </c>
      <c r="T302" s="372">
        <v>41639</v>
      </c>
      <c r="U302" s="207"/>
      <c r="V302" s="207"/>
      <c r="W302" s="207"/>
      <c r="X302" s="207"/>
      <c r="Y302" s="207"/>
      <c r="Z302" s="207"/>
    </row>
    <row r="303" spans="1:26" s="208" customFormat="1" ht="57.75" customHeight="1">
      <c r="A303" s="467"/>
      <c r="B303" s="473"/>
      <c r="C303" s="459"/>
      <c r="D303" s="522"/>
      <c r="E303" s="462"/>
      <c r="F303" s="612"/>
      <c r="G303" s="204"/>
      <c r="H303" s="205" t="s">
        <v>697</v>
      </c>
      <c r="I303" s="206" t="s">
        <v>624</v>
      </c>
      <c r="J303" s="464"/>
      <c r="K303" s="589"/>
      <c r="L303" s="204">
        <f t="shared" si="9"/>
        <v>0</v>
      </c>
      <c r="M303" s="204"/>
      <c r="N303" s="204"/>
      <c r="O303" s="204"/>
      <c r="P303" s="204"/>
      <c r="Q303" s="204">
        <f t="shared" si="8"/>
        <v>0</v>
      </c>
      <c r="R303" s="205" t="s">
        <v>749</v>
      </c>
      <c r="S303" s="205" t="s">
        <v>620</v>
      </c>
      <c r="T303" s="372">
        <v>41639</v>
      </c>
      <c r="U303" s="207"/>
      <c r="V303" s="207"/>
      <c r="W303" s="207"/>
      <c r="X303" s="207"/>
      <c r="Y303" s="207"/>
      <c r="Z303" s="207"/>
    </row>
    <row r="304" spans="1:26" s="208" customFormat="1" ht="53.25" customHeight="1">
      <c r="A304" s="467"/>
      <c r="B304" s="473"/>
      <c r="C304" s="457">
        <v>10</v>
      </c>
      <c r="D304" s="522"/>
      <c r="E304" s="460" t="s">
        <v>252</v>
      </c>
      <c r="F304" s="606" t="s">
        <v>596</v>
      </c>
      <c r="G304" s="204"/>
      <c r="H304" s="205" t="s">
        <v>698</v>
      </c>
      <c r="I304" s="222" t="s">
        <v>631</v>
      </c>
      <c r="J304" s="464"/>
      <c r="K304" s="589"/>
      <c r="L304" s="204">
        <f t="shared" si="9"/>
        <v>0</v>
      </c>
      <c r="M304" s="204"/>
      <c r="N304" s="204"/>
      <c r="O304" s="204"/>
      <c r="P304" s="209"/>
      <c r="Q304" s="204">
        <f t="shared" si="8"/>
        <v>0</v>
      </c>
      <c r="R304" s="205" t="s">
        <v>750</v>
      </c>
      <c r="S304" s="205" t="s">
        <v>620</v>
      </c>
      <c r="T304" s="372">
        <v>41639</v>
      </c>
      <c r="U304" s="207"/>
      <c r="V304" s="207"/>
      <c r="W304" s="207"/>
      <c r="X304" s="207"/>
      <c r="Y304" s="207"/>
      <c r="Z304" s="207"/>
    </row>
    <row r="305" spans="1:26" s="208" customFormat="1" ht="45" customHeight="1">
      <c r="A305" s="467"/>
      <c r="B305" s="473"/>
      <c r="C305" s="458"/>
      <c r="D305" s="522"/>
      <c r="E305" s="461"/>
      <c r="F305" s="607"/>
      <c r="G305" s="204"/>
      <c r="H305" s="205" t="s">
        <v>699</v>
      </c>
      <c r="I305" s="222" t="s">
        <v>631</v>
      </c>
      <c r="J305" s="464"/>
      <c r="K305" s="589"/>
      <c r="L305" s="204">
        <f t="shared" si="9"/>
        <v>0</v>
      </c>
      <c r="M305" s="204"/>
      <c r="N305" s="204"/>
      <c r="O305" s="204"/>
      <c r="P305" s="209"/>
      <c r="Q305" s="204">
        <f t="shared" si="8"/>
        <v>0</v>
      </c>
      <c r="R305" s="205" t="s">
        <v>751</v>
      </c>
      <c r="S305" s="205" t="s">
        <v>620</v>
      </c>
      <c r="T305" s="372">
        <v>41639</v>
      </c>
      <c r="U305" s="207"/>
      <c r="V305" s="207"/>
      <c r="W305" s="207"/>
      <c r="X305" s="207"/>
      <c r="Y305" s="207"/>
      <c r="Z305" s="207"/>
    </row>
    <row r="306" spans="1:26" s="208" customFormat="1" ht="39.75" customHeight="1">
      <c r="A306" s="467"/>
      <c r="B306" s="473"/>
      <c r="C306" s="458"/>
      <c r="D306" s="522"/>
      <c r="E306" s="461"/>
      <c r="F306" s="607"/>
      <c r="G306" s="204"/>
      <c r="H306" s="205" t="s">
        <v>700</v>
      </c>
      <c r="I306" s="222" t="s">
        <v>627</v>
      </c>
      <c r="J306" s="464"/>
      <c r="K306" s="589"/>
      <c r="L306" s="204">
        <f t="shared" si="9"/>
        <v>0</v>
      </c>
      <c r="M306" s="204"/>
      <c r="N306" s="204"/>
      <c r="O306" s="204"/>
      <c r="P306" s="209"/>
      <c r="Q306" s="204">
        <f t="shared" si="8"/>
        <v>0</v>
      </c>
      <c r="R306" s="205" t="s">
        <v>752</v>
      </c>
      <c r="S306" s="205" t="s">
        <v>620</v>
      </c>
      <c r="T306" s="372">
        <v>41639</v>
      </c>
      <c r="U306" s="207"/>
      <c r="V306" s="207"/>
      <c r="W306" s="207"/>
      <c r="X306" s="207"/>
      <c r="Y306" s="207"/>
      <c r="Z306" s="207"/>
    </row>
    <row r="307" spans="1:26" s="208" customFormat="1" ht="48.75" customHeight="1">
      <c r="A307" s="467"/>
      <c r="B307" s="473"/>
      <c r="C307" s="459"/>
      <c r="D307" s="522"/>
      <c r="E307" s="462"/>
      <c r="F307" s="608"/>
      <c r="G307" s="204"/>
      <c r="H307" s="205" t="s">
        <v>716</v>
      </c>
      <c r="I307" s="222" t="s">
        <v>639</v>
      </c>
      <c r="J307" s="465"/>
      <c r="K307" s="590"/>
      <c r="L307" s="204">
        <f t="shared" si="9"/>
        <v>0</v>
      </c>
      <c r="M307" s="204"/>
      <c r="N307" s="204"/>
      <c r="O307" s="204"/>
      <c r="P307" s="209"/>
      <c r="Q307" s="204">
        <f t="shared" si="8"/>
        <v>0</v>
      </c>
      <c r="R307" s="205" t="s">
        <v>753</v>
      </c>
      <c r="S307" s="205" t="s">
        <v>620</v>
      </c>
      <c r="T307" s="372">
        <v>41639</v>
      </c>
      <c r="U307" s="207"/>
      <c r="V307" s="207"/>
      <c r="W307" s="207"/>
      <c r="X307" s="207"/>
      <c r="Y307" s="207"/>
      <c r="Z307" s="207"/>
    </row>
    <row r="308" spans="1:26" s="208" customFormat="1" ht="39.75" customHeight="1">
      <c r="A308" s="467"/>
      <c r="B308" s="473"/>
      <c r="C308" s="214">
        <v>10</v>
      </c>
      <c r="D308" s="522"/>
      <c r="E308" s="215" t="s">
        <v>253</v>
      </c>
      <c r="F308" s="206" t="s">
        <v>597</v>
      </c>
      <c r="G308" s="204"/>
      <c r="H308" s="205"/>
      <c r="I308" s="204"/>
      <c r="J308" s="217">
        <v>1</v>
      </c>
      <c r="K308" s="204"/>
      <c r="L308" s="204">
        <f t="shared" si="9"/>
        <v>0</v>
      </c>
      <c r="M308" s="204"/>
      <c r="N308" s="204"/>
      <c r="O308" s="204"/>
      <c r="P308" s="204"/>
      <c r="Q308" s="204">
        <f t="shared" si="8"/>
        <v>0</v>
      </c>
      <c r="R308" s="205"/>
      <c r="S308" s="205"/>
      <c r="T308" s="372">
        <v>41639</v>
      </c>
      <c r="U308" s="207"/>
      <c r="V308" s="207"/>
      <c r="W308" s="207"/>
      <c r="X308" s="207"/>
      <c r="Y308" s="207"/>
      <c r="Z308" s="207"/>
    </row>
    <row r="309" spans="1:26" s="208" customFormat="1" ht="39.75" customHeight="1">
      <c r="A309" s="467"/>
      <c r="B309" s="473"/>
      <c r="C309" s="214">
        <v>20</v>
      </c>
      <c r="D309" s="522"/>
      <c r="E309" s="215" t="s">
        <v>254</v>
      </c>
      <c r="F309" s="206" t="s">
        <v>636</v>
      </c>
      <c r="G309" s="204"/>
      <c r="H309" s="210" t="s">
        <v>642</v>
      </c>
      <c r="I309" s="204"/>
      <c r="J309" s="217">
        <v>1</v>
      </c>
      <c r="K309" s="204"/>
      <c r="L309" s="204">
        <f t="shared" si="9"/>
        <v>0</v>
      </c>
      <c r="M309" s="204"/>
      <c r="N309" s="204"/>
      <c r="O309" s="204"/>
      <c r="P309" s="204"/>
      <c r="Q309" s="204">
        <f t="shared" si="8"/>
        <v>0</v>
      </c>
      <c r="R309" s="205" t="s">
        <v>754</v>
      </c>
      <c r="S309" s="205" t="s">
        <v>622</v>
      </c>
      <c r="T309" s="372">
        <v>41639</v>
      </c>
      <c r="U309" s="207"/>
      <c r="V309" s="207"/>
      <c r="W309" s="207"/>
      <c r="X309" s="207"/>
      <c r="Y309" s="207"/>
      <c r="Z309" s="207"/>
    </row>
    <row r="310" spans="1:26" s="208" customFormat="1" ht="39.75" customHeight="1">
      <c r="A310" s="467"/>
      <c r="B310" s="473"/>
      <c r="C310" s="214">
        <v>10</v>
      </c>
      <c r="D310" s="522"/>
      <c r="E310" s="215" t="s">
        <v>82</v>
      </c>
      <c r="F310" s="206" t="s">
        <v>598</v>
      </c>
      <c r="G310" s="204"/>
      <c r="H310" s="205" t="s">
        <v>645</v>
      </c>
      <c r="I310" s="204"/>
      <c r="J310" s="217">
        <v>1</v>
      </c>
      <c r="K310" s="204"/>
      <c r="L310" s="204">
        <f t="shared" si="9"/>
        <v>0</v>
      </c>
      <c r="M310" s="204"/>
      <c r="N310" s="204"/>
      <c r="O310" s="204"/>
      <c r="P310" s="204"/>
      <c r="Q310" s="204">
        <f t="shared" si="8"/>
        <v>0</v>
      </c>
      <c r="R310" s="205"/>
      <c r="S310" s="205"/>
      <c r="T310" s="372">
        <v>41639</v>
      </c>
      <c r="U310" s="207"/>
      <c r="V310" s="207"/>
      <c r="W310" s="207"/>
      <c r="X310" s="207"/>
      <c r="Y310" s="207"/>
      <c r="Z310" s="207"/>
    </row>
    <row r="311" spans="1:26" s="208" customFormat="1" ht="39.75" customHeight="1">
      <c r="A311" s="467"/>
      <c r="B311" s="473"/>
      <c r="C311" s="214">
        <v>10</v>
      </c>
      <c r="D311" s="522"/>
      <c r="E311" s="215" t="s">
        <v>314</v>
      </c>
      <c r="F311" s="206" t="s">
        <v>524</v>
      </c>
      <c r="G311" s="204"/>
      <c r="H311" s="205" t="s">
        <v>644</v>
      </c>
      <c r="I311" s="204"/>
      <c r="J311" s="217">
        <v>0.25</v>
      </c>
      <c r="K311" s="204"/>
      <c r="L311" s="204">
        <f t="shared" si="9"/>
        <v>0</v>
      </c>
      <c r="M311" s="204"/>
      <c r="N311" s="204"/>
      <c r="O311" s="204"/>
      <c r="P311" s="204"/>
      <c r="Q311" s="204">
        <f t="shared" si="8"/>
        <v>0</v>
      </c>
      <c r="R311" s="205"/>
      <c r="S311" s="205"/>
      <c r="T311" s="372">
        <v>41639</v>
      </c>
      <c r="U311" s="207"/>
      <c r="V311" s="207"/>
      <c r="W311" s="207"/>
      <c r="X311" s="207"/>
      <c r="Y311" s="207"/>
      <c r="Z311" s="207"/>
    </row>
    <row r="312" spans="1:26" s="208" customFormat="1" ht="39.75" customHeight="1">
      <c r="A312" s="467"/>
      <c r="B312" s="473"/>
      <c r="C312" s="214">
        <v>0</v>
      </c>
      <c r="D312" s="522"/>
      <c r="E312" s="215" t="s">
        <v>255</v>
      </c>
      <c r="F312" s="206" t="s">
        <v>599</v>
      </c>
      <c r="G312" s="204"/>
      <c r="H312" s="205"/>
      <c r="I312" s="204"/>
      <c r="J312" s="216">
        <v>0</v>
      </c>
      <c r="K312" s="204"/>
      <c r="L312" s="204">
        <f t="shared" si="9"/>
        <v>4000000</v>
      </c>
      <c r="M312" s="204"/>
      <c r="N312" s="204">
        <v>4000000</v>
      </c>
      <c r="O312" s="204"/>
      <c r="P312" s="204"/>
      <c r="Q312" s="204">
        <f t="shared" si="8"/>
        <v>4000000</v>
      </c>
      <c r="R312" s="205"/>
      <c r="S312" s="205"/>
      <c r="T312" s="372">
        <v>41639</v>
      </c>
      <c r="U312" s="207"/>
      <c r="V312" s="207"/>
      <c r="W312" s="207"/>
      <c r="X312" s="207"/>
      <c r="Y312" s="207"/>
      <c r="Z312" s="207"/>
    </row>
    <row r="313" spans="1:26" s="208" customFormat="1" ht="39.75" customHeight="1">
      <c r="A313" s="467"/>
      <c r="B313" s="473"/>
      <c r="C313" s="214">
        <v>3</v>
      </c>
      <c r="D313" s="522"/>
      <c r="E313" s="215" t="s">
        <v>256</v>
      </c>
      <c r="F313" s="206" t="s">
        <v>600</v>
      </c>
      <c r="G313" s="204"/>
      <c r="H313" s="205" t="s">
        <v>709</v>
      </c>
      <c r="I313" s="212" t="s">
        <v>600</v>
      </c>
      <c r="J313" s="216">
        <v>1</v>
      </c>
      <c r="K313" s="204">
        <v>1</v>
      </c>
      <c r="L313" s="204">
        <f t="shared" si="9"/>
        <v>0</v>
      </c>
      <c r="M313" s="204"/>
      <c r="N313" s="204"/>
      <c r="O313" s="204"/>
      <c r="P313" s="204"/>
      <c r="Q313" s="204">
        <f t="shared" si="8"/>
        <v>0</v>
      </c>
      <c r="R313" s="205" t="s">
        <v>755</v>
      </c>
      <c r="S313" s="205" t="s">
        <v>623</v>
      </c>
      <c r="T313" s="372">
        <v>41639</v>
      </c>
      <c r="U313" s="207"/>
      <c r="V313" s="207"/>
      <c r="W313" s="207"/>
      <c r="X313" s="207"/>
      <c r="Y313" s="207"/>
      <c r="Z313" s="207"/>
    </row>
    <row r="314" spans="1:26" s="219" customFormat="1" ht="39.75" customHeight="1">
      <c r="A314" s="467"/>
      <c r="B314" s="473"/>
      <c r="C314" s="214">
        <v>2</v>
      </c>
      <c r="D314" s="522"/>
      <c r="E314" s="215" t="s">
        <v>257</v>
      </c>
      <c r="F314" s="206" t="s">
        <v>601</v>
      </c>
      <c r="G314" s="204"/>
      <c r="H314" s="205"/>
      <c r="I314" s="204"/>
      <c r="J314" s="216">
        <v>2</v>
      </c>
      <c r="K314" s="204"/>
      <c r="L314" s="204">
        <f t="shared" si="9"/>
        <v>0</v>
      </c>
      <c r="M314" s="204"/>
      <c r="N314" s="204"/>
      <c r="O314" s="204"/>
      <c r="P314" s="204"/>
      <c r="Q314" s="204">
        <f t="shared" si="8"/>
        <v>0</v>
      </c>
      <c r="R314" s="205"/>
      <c r="S314" s="205"/>
      <c r="T314" s="372">
        <v>41639</v>
      </c>
      <c r="U314" s="218"/>
      <c r="V314" s="218"/>
      <c r="W314" s="218"/>
      <c r="X314" s="218"/>
      <c r="Y314" s="218"/>
      <c r="Z314" s="218"/>
    </row>
    <row r="315" spans="1:26" s="219" customFormat="1" ht="39.75" customHeight="1">
      <c r="A315" s="467"/>
      <c r="B315" s="473"/>
      <c r="C315" s="214">
        <v>0</v>
      </c>
      <c r="D315" s="522"/>
      <c r="E315" s="215" t="s">
        <v>258</v>
      </c>
      <c r="F315" s="206" t="s">
        <v>602</v>
      </c>
      <c r="G315" s="204"/>
      <c r="H315" s="205"/>
      <c r="I315" s="204"/>
      <c r="J315" s="216">
        <v>0</v>
      </c>
      <c r="K315" s="204"/>
      <c r="L315" s="204">
        <f t="shared" si="9"/>
        <v>0</v>
      </c>
      <c r="M315" s="204"/>
      <c r="N315" s="204"/>
      <c r="O315" s="204"/>
      <c r="P315" s="204"/>
      <c r="Q315" s="204">
        <f t="shared" si="8"/>
        <v>0</v>
      </c>
      <c r="R315" s="205"/>
      <c r="S315" s="205"/>
      <c r="T315" s="372">
        <v>41639</v>
      </c>
      <c r="U315" s="218"/>
      <c r="V315" s="218"/>
      <c r="W315" s="218"/>
      <c r="X315" s="218"/>
      <c r="Y315" s="218"/>
      <c r="Z315" s="218"/>
    </row>
    <row r="316" spans="1:26" s="219" customFormat="1" ht="63" customHeight="1">
      <c r="A316" s="467"/>
      <c r="B316" s="473"/>
      <c r="C316" s="214">
        <v>10</v>
      </c>
      <c r="D316" s="522"/>
      <c r="E316" s="215" t="s">
        <v>259</v>
      </c>
      <c r="F316" s="206" t="s">
        <v>603</v>
      </c>
      <c r="G316" s="204"/>
      <c r="H316" s="205" t="s">
        <v>710</v>
      </c>
      <c r="I316" s="212" t="s">
        <v>603</v>
      </c>
      <c r="J316" s="217">
        <v>0.25</v>
      </c>
      <c r="K316" s="213">
        <v>0.12</v>
      </c>
      <c r="L316" s="204">
        <f t="shared" si="9"/>
        <v>48000000</v>
      </c>
      <c r="M316" s="204"/>
      <c r="N316" s="204">
        <v>48000000</v>
      </c>
      <c r="O316" s="204"/>
      <c r="P316" s="204"/>
      <c r="Q316" s="204">
        <f t="shared" si="8"/>
        <v>48000000</v>
      </c>
      <c r="R316" s="205" t="s">
        <v>756</v>
      </c>
      <c r="S316" s="205" t="s">
        <v>623</v>
      </c>
      <c r="T316" s="372">
        <v>41639</v>
      </c>
      <c r="U316" s="218"/>
      <c r="V316" s="218"/>
      <c r="W316" s="218"/>
      <c r="X316" s="218"/>
      <c r="Y316" s="218"/>
      <c r="Z316" s="218"/>
    </row>
    <row r="317" spans="1:26" ht="39.75" customHeight="1">
      <c r="A317" s="467"/>
      <c r="B317" s="473"/>
      <c r="C317" s="116">
        <f>SUM(C290:C316)</f>
        <v>100</v>
      </c>
      <c r="D317" s="307"/>
      <c r="E317" s="308" t="s">
        <v>342</v>
      </c>
      <c r="F317" s="206"/>
      <c r="G317" s="204"/>
      <c r="H317" s="205"/>
      <c r="I317" s="204"/>
      <c r="J317" s="216"/>
      <c r="K317" s="204"/>
      <c r="L317" s="204">
        <f t="shared" si="9"/>
        <v>0</v>
      </c>
      <c r="M317" s="204"/>
      <c r="N317" s="204"/>
      <c r="O317" s="204"/>
      <c r="P317" s="204"/>
      <c r="Q317" s="204">
        <f t="shared" si="8"/>
        <v>0</v>
      </c>
      <c r="R317" s="108"/>
      <c r="S317" s="123"/>
      <c r="T317" s="372">
        <v>41639</v>
      </c>
      <c r="U317" s="117"/>
      <c r="V317" s="117"/>
      <c r="W317" s="117"/>
      <c r="X317" s="117"/>
      <c r="Y317" s="117"/>
      <c r="Z317" s="117"/>
    </row>
    <row r="318" spans="1:26" ht="39.75" customHeight="1">
      <c r="A318" s="467"/>
      <c r="B318" s="473"/>
      <c r="C318" s="116"/>
      <c r="D318" s="393" t="s">
        <v>74</v>
      </c>
      <c r="E318" s="393"/>
      <c r="F318" s="110"/>
      <c r="G318" s="122"/>
      <c r="H318" s="123"/>
      <c r="I318" s="122"/>
      <c r="J318" s="142"/>
      <c r="K318" s="122"/>
      <c r="L318" s="152">
        <f t="shared" si="9"/>
        <v>0</v>
      </c>
      <c r="M318" s="122"/>
      <c r="N318" s="122"/>
      <c r="O318" s="122"/>
      <c r="P318" s="122"/>
      <c r="Q318" s="152">
        <f t="shared" si="8"/>
        <v>0</v>
      </c>
      <c r="R318" s="108"/>
      <c r="S318" s="123"/>
      <c r="T318" s="372">
        <v>41639</v>
      </c>
      <c r="U318" s="117"/>
      <c r="V318" s="117"/>
      <c r="W318" s="117"/>
      <c r="X318" s="117"/>
      <c r="Y318" s="117"/>
      <c r="Z318" s="117"/>
    </row>
    <row r="319" spans="1:26" s="41" customFormat="1" ht="39.75" customHeight="1">
      <c r="A319" s="467"/>
      <c r="B319" s="473"/>
      <c r="C319" s="115">
        <v>50</v>
      </c>
      <c r="D319" s="403" t="s">
        <v>260</v>
      </c>
      <c r="E319" s="45" t="s">
        <v>315</v>
      </c>
      <c r="F319" s="110" t="s">
        <v>604</v>
      </c>
      <c r="G319" s="112"/>
      <c r="H319" s="108"/>
      <c r="I319" s="112"/>
      <c r="J319" s="140">
        <v>0.25</v>
      </c>
      <c r="K319" s="112"/>
      <c r="L319" s="152">
        <f t="shared" si="9"/>
        <v>0</v>
      </c>
      <c r="M319" s="112"/>
      <c r="N319" s="112"/>
      <c r="O319" s="112"/>
      <c r="P319" s="112"/>
      <c r="Q319" s="152">
        <f t="shared" si="8"/>
        <v>0</v>
      </c>
      <c r="R319" s="108"/>
      <c r="S319" s="108"/>
      <c r="T319" s="372">
        <v>41639</v>
      </c>
      <c r="U319" s="114"/>
      <c r="V319" s="114"/>
      <c r="W319" s="114"/>
      <c r="X319" s="114"/>
      <c r="Y319" s="114"/>
      <c r="Z319" s="114"/>
    </row>
    <row r="320" spans="1:26" s="41" customFormat="1" ht="39.75" customHeight="1">
      <c r="A320" s="467"/>
      <c r="B320" s="473"/>
      <c r="C320" s="115">
        <v>20</v>
      </c>
      <c r="D320" s="403"/>
      <c r="E320" s="45" t="s">
        <v>369</v>
      </c>
      <c r="F320" s="110" t="s">
        <v>605</v>
      </c>
      <c r="G320" s="112"/>
      <c r="H320" s="108"/>
      <c r="I320" s="112"/>
      <c r="J320" s="141">
        <v>1</v>
      </c>
      <c r="K320" s="112"/>
      <c r="L320" s="152">
        <f t="shared" si="9"/>
        <v>0</v>
      </c>
      <c r="M320" s="112"/>
      <c r="N320" s="112"/>
      <c r="O320" s="112"/>
      <c r="P320" s="112"/>
      <c r="Q320" s="152">
        <f t="shared" si="8"/>
        <v>0</v>
      </c>
      <c r="R320" s="108"/>
      <c r="S320" s="108"/>
      <c r="T320" s="372">
        <v>41639</v>
      </c>
      <c r="U320" s="114"/>
      <c r="V320" s="114"/>
      <c r="W320" s="114"/>
      <c r="X320" s="114"/>
      <c r="Y320" s="114"/>
      <c r="Z320" s="114"/>
    </row>
    <row r="321" spans="1:26" s="41" customFormat="1" ht="57.75" customHeight="1">
      <c r="A321" s="467"/>
      <c r="B321" s="473"/>
      <c r="C321" s="115">
        <v>30</v>
      </c>
      <c r="D321" s="403"/>
      <c r="E321" s="362" t="s">
        <v>338</v>
      </c>
      <c r="F321" s="356" t="s">
        <v>606</v>
      </c>
      <c r="G321" s="357"/>
      <c r="H321" s="358"/>
      <c r="I321" s="357"/>
      <c r="J321" s="363">
        <v>0.25</v>
      </c>
      <c r="K321" s="357"/>
      <c r="L321" s="357">
        <f t="shared" si="9"/>
        <v>100000</v>
      </c>
      <c r="M321" s="357"/>
      <c r="N321" s="357">
        <v>100000</v>
      </c>
      <c r="O321" s="357"/>
      <c r="P321" s="357"/>
      <c r="Q321" s="357">
        <f t="shared" si="8"/>
        <v>100000</v>
      </c>
      <c r="R321" s="108"/>
      <c r="S321" s="108"/>
      <c r="T321" s="372">
        <v>41639</v>
      </c>
      <c r="U321" s="114"/>
      <c r="V321" s="114"/>
      <c r="W321" s="114"/>
      <c r="X321" s="114"/>
      <c r="Y321" s="114"/>
      <c r="Z321" s="114"/>
    </row>
    <row r="322" spans="1:26" ht="39.75" customHeight="1">
      <c r="A322" s="467"/>
      <c r="B322" s="473"/>
      <c r="C322" s="116">
        <f>SUM(C319:C321)</f>
        <v>100</v>
      </c>
      <c r="D322" s="403"/>
      <c r="E322" s="64" t="s">
        <v>342</v>
      </c>
      <c r="F322" s="110"/>
      <c r="G322" s="122"/>
      <c r="H322" s="123"/>
      <c r="I322" s="122"/>
      <c r="J322" s="142"/>
      <c r="K322" s="122"/>
      <c r="L322" s="152">
        <f t="shared" si="9"/>
        <v>0</v>
      </c>
      <c r="M322" s="122"/>
      <c r="N322" s="122"/>
      <c r="O322" s="122"/>
      <c r="P322" s="122"/>
      <c r="Q322" s="152">
        <f t="shared" si="8"/>
        <v>0</v>
      </c>
      <c r="R322" s="108"/>
      <c r="S322" s="123"/>
      <c r="T322" s="372">
        <v>41639</v>
      </c>
      <c r="U322" s="117"/>
      <c r="V322" s="117"/>
      <c r="W322" s="117"/>
      <c r="X322" s="117"/>
      <c r="Y322" s="117"/>
      <c r="Z322" s="117"/>
    </row>
    <row r="323" spans="1:26" ht="39.75" customHeight="1">
      <c r="A323" s="467"/>
      <c r="B323" s="473"/>
      <c r="C323" s="116"/>
      <c r="D323" s="393" t="s">
        <v>316</v>
      </c>
      <c r="E323" s="393"/>
      <c r="F323" s="110"/>
      <c r="G323" s="122"/>
      <c r="H323" s="123"/>
      <c r="I323" s="122"/>
      <c r="J323" s="142"/>
      <c r="K323" s="122"/>
      <c r="L323" s="152">
        <f t="shared" si="9"/>
        <v>0</v>
      </c>
      <c r="M323" s="122"/>
      <c r="N323" s="122"/>
      <c r="O323" s="122"/>
      <c r="P323" s="122"/>
      <c r="Q323" s="152">
        <f t="shared" si="8"/>
        <v>0</v>
      </c>
      <c r="R323" s="108"/>
      <c r="S323" s="123"/>
      <c r="T323" s="372">
        <v>41639</v>
      </c>
      <c r="U323" s="117"/>
      <c r="V323" s="117"/>
      <c r="W323" s="117"/>
      <c r="X323" s="117"/>
      <c r="Y323" s="117"/>
      <c r="Z323" s="117"/>
    </row>
    <row r="324" spans="1:26" s="41" customFormat="1" ht="96" customHeight="1">
      <c r="A324" s="467"/>
      <c r="B324" s="473"/>
      <c r="C324" s="115">
        <v>10</v>
      </c>
      <c r="D324" s="403" t="s">
        <v>317</v>
      </c>
      <c r="E324" s="335" t="s">
        <v>243</v>
      </c>
      <c r="F324" s="336" t="s">
        <v>428</v>
      </c>
      <c r="G324" s="337"/>
      <c r="H324" s="338"/>
      <c r="I324" s="337"/>
      <c r="J324" s="339">
        <v>2</v>
      </c>
      <c r="K324" s="337"/>
      <c r="L324" s="337">
        <f t="shared" si="9"/>
        <v>2500000</v>
      </c>
      <c r="M324" s="337"/>
      <c r="N324" s="337">
        <v>2500000</v>
      </c>
      <c r="O324" s="337"/>
      <c r="P324" s="337"/>
      <c r="Q324" s="337">
        <f aca="true" t="shared" si="10" ref="Q324:Q329">SUM(M324:P324)</f>
        <v>2500000</v>
      </c>
      <c r="R324" s="108"/>
      <c r="S324" s="108"/>
      <c r="T324" s="372">
        <v>41639</v>
      </c>
      <c r="U324" s="114"/>
      <c r="V324" s="114"/>
      <c r="W324" s="114"/>
      <c r="X324" s="114"/>
      <c r="Y324" s="114"/>
      <c r="Z324" s="114"/>
    </row>
    <row r="325" spans="1:26" s="41" customFormat="1" ht="69.75" customHeight="1">
      <c r="A325" s="467"/>
      <c r="B325" s="473"/>
      <c r="C325" s="115">
        <v>20</v>
      </c>
      <c r="D325" s="403"/>
      <c r="E325" s="45" t="s">
        <v>244</v>
      </c>
      <c r="F325" s="110" t="s">
        <v>432</v>
      </c>
      <c r="G325" s="112"/>
      <c r="H325" s="108"/>
      <c r="I325" s="112"/>
      <c r="J325" s="141">
        <v>2</v>
      </c>
      <c r="K325" s="112"/>
      <c r="L325" s="152">
        <f t="shared" si="9"/>
        <v>0</v>
      </c>
      <c r="M325" s="112"/>
      <c r="N325" s="112">
        <v>0</v>
      </c>
      <c r="O325" s="112"/>
      <c r="P325" s="112"/>
      <c r="Q325" s="152">
        <f t="shared" si="10"/>
        <v>0</v>
      </c>
      <c r="R325" s="108"/>
      <c r="S325" s="108"/>
      <c r="T325" s="372">
        <v>41639</v>
      </c>
      <c r="U325" s="114"/>
      <c r="V325" s="114"/>
      <c r="W325" s="114"/>
      <c r="X325" s="114"/>
      <c r="Y325" s="114"/>
      <c r="Z325" s="114"/>
    </row>
    <row r="326" spans="1:26" s="41" customFormat="1" ht="39.75" customHeight="1">
      <c r="A326" s="467"/>
      <c r="B326" s="473"/>
      <c r="C326" s="115">
        <v>50</v>
      </c>
      <c r="D326" s="403"/>
      <c r="E326" s="45" t="s">
        <v>339</v>
      </c>
      <c r="F326" s="110" t="s">
        <v>607</v>
      </c>
      <c r="G326" s="112"/>
      <c r="H326" s="108"/>
      <c r="I326" s="112"/>
      <c r="J326" s="141">
        <v>2</v>
      </c>
      <c r="K326" s="112"/>
      <c r="L326" s="152">
        <f>+M326+N326+O326+P326</f>
        <v>0</v>
      </c>
      <c r="M326" s="112"/>
      <c r="N326" s="112">
        <v>0</v>
      </c>
      <c r="O326" s="112"/>
      <c r="P326" s="112"/>
      <c r="Q326" s="152">
        <f t="shared" si="10"/>
        <v>0</v>
      </c>
      <c r="R326" s="108"/>
      <c r="S326" s="108"/>
      <c r="T326" s="372">
        <v>41639</v>
      </c>
      <c r="U326" s="114"/>
      <c r="V326" s="114"/>
      <c r="W326" s="114"/>
      <c r="X326" s="114"/>
      <c r="Y326" s="114"/>
      <c r="Z326" s="114"/>
    </row>
    <row r="327" spans="1:26" s="41" customFormat="1" ht="39.75" customHeight="1">
      <c r="A327" s="467"/>
      <c r="B327" s="473"/>
      <c r="C327" s="115">
        <v>10</v>
      </c>
      <c r="D327" s="403"/>
      <c r="E327" s="364" t="s">
        <v>340</v>
      </c>
      <c r="F327" s="365" t="s">
        <v>608</v>
      </c>
      <c r="G327" s="113"/>
      <c r="H327" s="120"/>
      <c r="I327" s="113"/>
      <c r="J327" s="144">
        <v>0</v>
      </c>
      <c r="K327" s="113"/>
      <c r="L327" s="113">
        <f>+M327+N327+O327+P327</f>
        <v>0</v>
      </c>
      <c r="M327" s="113"/>
      <c r="N327" s="113">
        <v>0</v>
      </c>
      <c r="O327" s="113"/>
      <c r="P327" s="113"/>
      <c r="Q327" s="113">
        <f t="shared" si="10"/>
        <v>0</v>
      </c>
      <c r="R327" s="108"/>
      <c r="S327" s="108"/>
      <c r="T327" s="372">
        <v>41639</v>
      </c>
      <c r="U327" s="114"/>
      <c r="V327" s="114"/>
      <c r="W327" s="114"/>
      <c r="X327" s="114"/>
      <c r="Y327" s="114"/>
      <c r="Z327" s="114"/>
    </row>
    <row r="328" spans="1:26" s="41" customFormat="1" ht="83.25" customHeight="1">
      <c r="A328" s="467"/>
      <c r="B328" s="473"/>
      <c r="C328" s="115">
        <v>10</v>
      </c>
      <c r="D328" s="403"/>
      <c r="E328" s="45" t="s">
        <v>341</v>
      </c>
      <c r="F328" s="110" t="s">
        <v>609</v>
      </c>
      <c r="G328" s="112"/>
      <c r="H328" s="108"/>
      <c r="I328" s="112"/>
      <c r="J328" s="140">
        <v>0.25</v>
      </c>
      <c r="K328" s="112"/>
      <c r="L328" s="152">
        <f>+M328+N328+O328+P328</f>
        <v>0</v>
      </c>
      <c r="M328" s="112"/>
      <c r="N328" s="112"/>
      <c r="O328" s="112"/>
      <c r="P328" s="112"/>
      <c r="Q328" s="152">
        <f t="shared" si="10"/>
        <v>0</v>
      </c>
      <c r="R328" s="108"/>
      <c r="S328" s="108"/>
      <c r="T328" s="372">
        <v>41639</v>
      </c>
      <c r="U328" s="114"/>
      <c r="V328" s="114"/>
      <c r="W328" s="114"/>
      <c r="X328" s="114"/>
      <c r="Y328" s="114"/>
      <c r="Z328" s="114"/>
    </row>
    <row r="329" spans="1:26" ht="39.75" customHeight="1">
      <c r="A329" s="468"/>
      <c r="B329" s="474"/>
      <c r="C329" s="116">
        <f>SUM(C324:C328)</f>
        <v>100</v>
      </c>
      <c r="D329" s="403"/>
      <c r="E329" s="31" t="s">
        <v>342</v>
      </c>
      <c r="F329" s="110"/>
      <c r="G329" s="122"/>
      <c r="H329" s="123"/>
      <c r="I329" s="122"/>
      <c r="J329" s="142"/>
      <c r="K329" s="122"/>
      <c r="L329" s="152">
        <f>+M329+N329+O329+P329</f>
        <v>0</v>
      </c>
      <c r="M329" s="122"/>
      <c r="N329" s="122"/>
      <c r="O329" s="122"/>
      <c r="P329" s="122"/>
      <c r="Q329" s="152">
        <f t="shared" si="10"/>
        <v>0</v>
      </c>
      <c r="R329" s="108"/>
      <c r="S329" s="123"/>
      <c r="T329" s="372">
        <v>41639</v>
      </c>
      <c r="U329" s="117"/>
      <c r="V329" s="117"/>
      <c r="W329" s="117"/>
      <c r="X329" s="117"/>
      <c r="Y329" s="117"/>
      <c r="Z329" s="117"/>
    </row>
    <row r="330" spans="1:26" ht="15">
      <c r="A330" s="117">
        <f>SUM(A5:A329)</f>
        <v>100</v>
      </c>
      <c r="B330" s="117"/>
      <c r="C330" s="117"/>
      <c r="D330" s="137"/>
      <c r="E330" s="138"/>
      <c r="F330" s="117"/>
      <c r="G330" s="117"/>
      <c r="H330" s="139"/>
      <c r="I330" s="117"/>
      <c r="J330" s="147"/>
      <c r="K330" s="117"/>
      <c r="L330" s="152">
        <f>+M330+N330+O330+P330</f>
        <v>1333674010</v>
      </c>
      <c r="M330" s="117">
        <f>SUM(M4:M329)</f>
        <v>48000000</v>
      </c>
      <c r="N330" s="117">
        <f>SUM(N4:N329)</f>
        <v>964155110</v>
      </c>
      <c r="O330" s="117">
        <f>SUM(O4:O329)</f>
        <v>0</v>
      </c>
      <c r="P330" s="117">
        <f>SUM(P4:P329)</f>
        <v>321518900</v>
      </c>
      <c r="Q330" s="112">
        <f>SUM(M330:P330)</f>
        <v>1333674010</v>
      </c>
      <c r="R330" s="139"/>
      <c r="S330" s="139"/>
      <c r="T330" s="372">
        <v>41639</v>
      </c>
      <c r="U330" s="117"/>
      <c r="V330" s="117"/>
      <c r="W330" s="117"/>
      <c r="X330" s="117"/>
      <c r="Y330" s="117"/>
      <c r="Z330" s="117"/>
    </row>
    <row r="331" spans="18:22" ht="15">
      <c r="R331" s="139"/>
      <c r="S331" s="139"/>
      <c r="T331" s="372">
        <v>41639</v>
      </c>
      <c r="U331" s="117"/>
      <c r="V331" s="117"/>
    </row>
    <row r="332" spans="18:22" ht="15">
      <c r="R332" s="139"/>
      <c r="S332" s="139"/>
      <c r="T332" s="372">
        <v>41639</v>
      </c>
      <c r="U332" s="117"/>
      <c r="V332" s="117"/>
    </row>
    <row r="333" spans="18:22" ht="15">
      <c r="R333" s="139"/>
      <c r="S333" s="139"/>
      <c r="T333" s="372">
        <v>41639</v>
      </c>
      <c r="U333" s="117"/>
      <c r="V333" s="117"/>
    </row>
    <row r="334" spans="18:22" ht="15">
      <c r="R334" s="139"/>
      <c r="S334" s="139"/>
      <c r="T334" s="372">
        <v>41639</v>
      </c>
      <c r="U334" s="117"/>
      <c r="V334" s="117"/>
    </row>
    <row r="335" spans="18:22" ht="15">
      <c r="R335" s="139"/>
      <c r="S335" s="139"/>
      <c r="T335" s="372">
        <v>41639</v>
      </c>
      <c r="U335" s="117"/>
      <c r="V335" s="117"/>
    </row>
    <row r="336" spans="18:22" ht="15">
      <c r="R336" s="139"/>
      <c r="S336" s="139"/>
      <c r="T336" s="372">
        <v>41639</v>
      </c>
      <c r="U336" s="117"/>
      <c r="V336" s="117"/>
    </row>
    <row r="337" spans="18:22" ht="15">
      <c r="R337" s="139"/>
      <c r="S337" s="139"/>
      <c r="T337" s="372">
        <v>41639</v>
      </c>
      <c r="U337" s="117"/>
      <c r="V337" s="117"/>
    </row>
    <row r="338" ht="15">
      <c r="T338" s="372">
        <v>41639</v>
      </c>
    </row>
    <row r="339" ht="15">
      <c r="T339" s="372">
        <v>41639</v>
      </c>
    </row>
    <row r="340" ht="15">
      <c r="T340" s="372">
        <v>41639</v>
      </c>
    </row>
    <row r="341" ht="15">
      <c r="T341" s="372">
        <v>41639</v>
      </c>
    </row>
  </sheetData>
  <sheetProtection/>
  <mergeCells count="112">
    <mergeCell ref="K302:K307"/>
    <mergeCell ref="K241:K245"/>
    <mergeCell ref="D119:D122"/>
    <mergeCell ref="D123:D126"/>
    <mergeCell ref="D127:E127"/>
    <mergeCell ref="D128:D143"/>
    <mergeCell ref="D144:E144"/>
    <mergeCell ref="D145:D155"/>
    <mergeCell ref="D156:E156"/>
    <mergeCell ref="D214:D216"/>
    <mergeCell ref="D239:D249"/>
    <mergeCell ref="D157:D167"/>
    <mergeCell ref="D204:D212"/>
    <mergeCell ref="D213:E213"/>
    <mergeCell ref="D234:D238"/>
    <mergeCell ref="H153:H154"/>
    <mergeCell ref="F290:F298"/>
    <mergeCell ref="J290:J298"/>
    <mergeCell ref="K290:K298"/>
    <mergeCell ref="F304:F307"/>
    <mergeCell ref="D221:E221"/>
    <mergeCell ref="D222:D228"/>
    <mergeCell ref="D229:D233"/>
    <mergeCell ref="F302:F303"/>
    <mergeCell ref="E77:E78"/>
    <mergeCell ref="C10:C12"/>
    <mergeCell ref="L1:L3"/>
    <mergeCell ref="M1:Q2"/>
    <mergeCell ref="F1:K2"/>
    <mergeCell ref="I241:I245"/>
    <mergeCell ref="J241:J245"/>
    <mergeCell ref="F241:F245"/>
    <mergeCell ref="F276:F277"/>
    <mergeCell ref="J276:J277"/>
    <mergeCell ref="F149:F150"/>
    <mergeCell ref="I149:I150"/>
    <mergeCell ref="J149:J150"/>
    <mergeCell ref="F10:F12"/>
    <mergeCell ref="H82:H83"/>
    <mergeCell ref="I10:I11"/>
    <mergeCell ref="C290:C299"/>
    <mergeCell ref="C302:C303"/>
    <mergeCell ref="R1:T2"/>
    <mergeCell ref="S241:S245"/>
    <mergeCell ref="E302:E303"/>
    <mergeCell ref="A1:A3"/>
    <mergeCell ref="B1:B3"/>
    <mergeCell ref="C1:C3"/>
    <mergeCell ref="D102:D108"/>
    <mergeCell ref="D4:E4"/>
    <mergeCell ref="D5:D16"/>
    <mergeCell ref="D17:D27"/>
    <mergeCell ref="D28:E28"/>
    <mergeCell ref="D29:D45"/>
    <mergeCell ref="D46:D74"/>
    <mergeCell ref="D75:E75"/>
    <mergeCell ref="D76:D87"/>
    <mergeCell ref="D88:D90"/>
    <mergeCell ref="D91:D101"/>
    <mergeCell ref="A5:A155"/>
    <mergeCell ref="B5:B155"/>
    <mergeCell ref="D109:D114"/>
    <mergeCell ref="D115:D118"/>
    <mergeCell ref="E10:E12"/>
    <mergeCell ref="D172:E172"/>
    <mergeCell ref="A156:A171"/>
    <mergeCell ref="C149:C150"/>
    <mergeCell ref="E149:E150"/>
    <mergeCell ref="D218:D220"/>
    <mergeCell ref="B274:B329"/>
    <mergeCell ref="A274:A329"/>
    <mergeCell ref="D274:E274"/>
    <mergeCell ref="E241:E245"/>
    <mergeCell ref="D319:D322"/>
    <mergeCell ref="D323:E323"/>
    <mergeCell ref="D324:D329"/>
    <mergeCell ref="D275:D281"/>
    <mergeCell ref="D282:E282"/>
    <mergeCell ref="D283:D288"/>
    <mergeCell ref="D289:E289"/>
    <mergeCell ref="D318:E318"/>
    <mergeCell ref="D261:D273"/>
    <mergeCell ref="E276:E277"/>
    <mergeCell ref="D250:E250"/>
    <mergeCell ref="D251:D254"/>
    <mergeCell ref="D290:D316"/>
    <mergeCell ref="E290:E298"/>
    <mergeCell ref="C276:C277"/>
    <mergeCell ref="A172:A177"/>
    <mergeCell ref="A178:A202"/>
    <mergeCell ref="C304:C307"/>
    <mergeCell ref="E304:E307"/>
    <mergeCell ref="J302:J307"/>
    <mergeCell ref="A203:A220"/>
    <mergeCell ref="B221:B273"/>
    <mergeCell ref="B156:B171"/>
    <mergeCell ref="B172:B177"/>
    <mergeCell ref="B178:B202"/>
    <mergeCell ref="B203:B220"/>
    <mergeCell ref="D255:D258"/>
    <mergeCell ref="D259:D260"/>
    <mergeCell ref="D168:D171"/>
    <mergeCell ref="D217:E217"/>
    <mergeCell ref="D173:D177"/>
    <mergeCell ref="D178:E178"/>
    <mergeCell ref="D179:D183"/>
    <mergeCell ref="D184:E184"/>
    <mergeCell ref="D185:D191"/>
    <mergeCell ref="D192:E192"/>
    <mergeCell ref="D193:D202"/>
    <mergeCell ref="D203:E203"/>
    <mergeCell ref="A221:A273"/>
  </mergeCells>
  <printOptions/>
  <pageMargins left="0.7" right="0.7" top="0.75" bottom="0.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Mayra Leguizamon</cp:lastModifiedBy>
  <cp:lastPrinted>2013-03-22T22:25:57Z</cp:lastPrinted>
  <dcterms:created xsi:type="dcterms:W3CDTF">2012-03-05T16:00:11Z</dcterms:created>
  <dcterms:modified xsi:type="dcterms:W3CDTF">2013-07-12T21:09:49Z</dcterms:modified>
  <cp:category/>
  <cp:version/>
  <cp:contentType/>
  <cp:contentStatus/>
</cp:coreProperties>
</file>